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emf" ContentType="image/x-emf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embeddings/oleObject39.bin" ContentType="application/vnd.openxmlformats-officedocument.oleObject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1355" windowHeight="5895" tabRatio="280"/>
  </bookViews>
  <sheets>
    <sheet name="Example 15-9 -suction" sheetId="1" r:id="rId1"/>
    <sheet name="Example 15-9 discharg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11" i="2"/>
  <c r="G111"/>
  <c r="I103"/>
  <c r="I102"/>
  <c r="I104" s="1"/>
  <c r="D128"/>
  <c r="G128"/>
  <c r="D125"/>
  <c r="D116" i="1"/>
  <c r="D117" s="1"/>
  <c r="D98"/>
  <c r="G102" s="1"/>
  <c r="D105" i="2"/>
  <c r="D106" s="1"/>
  <c r="D124"/>
  <c r="D120"/>
  <c r="D118"/>
  <c r="D100"/>
  <c r="D107"/>
  <c r="D101"/>
  <c r="I92"/>
  <c r="I91"/>
  <c r="I90"/>
  <c r="D75"/>
  <c r="D76" i="1"/>
  <c r="D77" i="2"/>
  <c r="D84"/>
  <c r="D83"/>
  <c r="D82"/>
  <c r="J27"/>
  <c r="D73"/>
  <c r="D74" s="1"/>
  <c r="D70"/>
  <c r="D68"/>
  <c r="D67" i="1"/>
  <c r="D66" i="2"/>
  <c r="S62"/>
  <c r="S61"/>
  <c r="S60"/>
  <c r="S59"/>
  <c r="S58"/>
  <c r="S57"/>
  <c r="D38"/>
  <c r="D23"/>
  <c r="I49"/>
  <c r="G49"/>
  <c r="I51" s="1"/>
  <c r="D48"/>
  <c r="D47"/>
  <c r="G120" i="1"/>
  <c r="D112"/>
  <c r="D110"/>
  <c r="D93"/>
  <c r="D100"/>
  <c r="G100"/>
  <c r="D46"/>
  <c r="D47" s="1"/>
  <c r="I105" i="2" l="1"/>
  <c r="D99" i="1"/>
  <c r="F58" i="2"/>
  <c r="D58"/>
  <c r="I52"/>
  <c r="D39"/>
  <c r="I128" s="1"/>
  <c r="D35"/>
  <c r="D36" s="1"/>
  <c r="D37" s="1"/>
  <c r="F27"/>
  <c r="D30"/>
  <c r="D102" i="1" l="1"/>
  <c r="D101"/>
  <c r="I113" i="2"/>
  <c r="I114" s="1"/>
  <c r="F37"/>
  <c r="I93"/>
  <c r="D49"/>
  <c r="D50" s="1"/>
  <c r="D51" s="1"/>
  <c r="D52" s="1"/>
  <c r="D53" s="1"/>
  <c r="D40"/>
  <c r="D127"/>
  <c r="D129" s="1"/>
  <c r="D130" s="1"/>
  <c r="D132" s="1"/>
  <c r="D126"/>
  <c r="D102"/>
  <c r="D121"/>
  <c r="I130"/>
  <c r="I131" s="1"/>
  <c r="D103" i="1" l="1"/>
  <c r="D104" s="1"/>
  <c r="D106" s="1"/>
  <c r="D65" i="2"/>
  <c r="D67" s="1"/>
  <c r="F68" l="1"/>
  <c r="F73" l="1"/>
  <c r="F75" s="1"/>
  <c r="F83" l="1"/>
  <c r="N66" i="1"/>
  <c r="S66" s="1"/>
  <c r="D29"/>
  <c r="J26" s="1"/>
  <c r="D57"/>
  <c r="F57" s="1"/>
  <c r="D37"/>
  <c r="D34"/>
  <c r="D35" s="1"/>
  <c r="D36" s="1"/>
  <c r="H27" i="2"/>
  <c r="D19"/>
  <c r="D18"/>
  <c r="D16"/>
  <c r="F26" i="1"/>
  <c r="H26" s="1"/>
  <c r="D15"/>
  <c r="D17"/>
  <c r="D18" s="1"/>
  <c r="D38" s="1"/>
  <c r="Q62" i="2"/>
  <c r="O62"/>
  <c r="Q61"/>
  <c r="O61"/>
  <c r="Q60"/>
  <c r="O60"/>
  <c r="Q59"/>
  <c r="O59"/>
  <c r="Q58"/>
  <c r="O58"/>
  <c r="Q57"/>
  <c r="O57"/>
  <c r="Q65" i="1"/>
  <c r="O65"/>
  <c r="S65" s="1"/>
  <c r="Q64"/>
  <c r="O64"/>
  <c r="Q63"/>
  <c r="O63"/>
  <c r="Q62"/>
  <c r="O62"/>
  <c r="S62" s="1"/>
  <c r="X60"/>
  <c r="Y60" s="1"/>
  <c r="Z60"/>
  <c r="AA60" s="1"/>
  <c r="AB60"/>
  <c r="X61"/>
  <c r="Y61" s="1"/>
  <c r="Z61"/>
  <c r="AA61" s="1"/>
  <c r="AB61"/>
  <c r="D39" l="1"/>
  <c r="I48"/>
  <c r="G48"/>
  <c r="I50" s="1"/>
  <c r="I51" s="1"/>
  <c r="S63"/>
  <c r="S64"/>
  <c r="F36"/>
  <c r="D94"/>
  <c r="S67" i="2"/>
  <c r="S71" i="1"/>
  <c r="D65" s="1"/>
  <c r="AC60"/>
  <c r="AC61"/>
  <c r="D48"/>
  <c r="D49" s="1"/>
  <c r="AC63"/>
  <c r="I104" l="1"/>
  <c r="I105" s="1"/>
  <c r="D95"/>
  <c r="I102"/>
  <c r="I122"/>
  <c r="I123" s="1"/>
  <c r="D118"/>
  <c r="D119" s="1"/>
  <c r="I120"/>
  <c r="D113"/>
  <c r="D50"/>
  <c r="D51" s="1"/>
  <c r="D52" s="1"/>
  <c r="AC66"/>
  <c r="D121" l="1"/>
  <c r="D122" s="1"/>
  <c r="D124" s="1"/>
  <c r="D120"/>
  <c r="D69"/>
  <c r="D64"/>
  <c r="D66" s="1"/>
  <c r="F67" s="1"/>
  <c r="D108" i="2"/>
  <c r="D109" s="1"/>
  <c r="D110" l="1"/>
  <c r="D111" s="1"/>
  <c r="D113" s="1"/>
  <c r="F72" i="1"/>
  <c r="F74" s="1"/>
  <c r="D81"/>
  <c r="D82" s="1"/>
  <c r="F82" s="1"/>
  <c r="D72"/>
  <c r="D73" s="1"/>
  <c r="D74" s="1"/>
</calcChain>
</file>

<file path=xl/sharedStrings.xml><?xml version="1.0" encoding="utf-8"?>
<sst xmlns="http://schemas.openxmlformats.org/spreadsheetml/2006/main" count="517" uniqueCount="206">
  <si>
    <t>e/3.7D=</t>
  </si>
  <si>
    <t>The spreadsheet program determines the pressure drop of process lines of incompressible fluids</t>
  </si>
  <si>
    <t>using equations described in the text. The input parameters are the physical properties such as:</t>
  </si>
  <si>
    <t xml:space="preserve">fluid's density, viscosity. Other parameters are:  Fluid's flow rate, (mass or volumetric), </t>
  </si>
  <si>
    <t xml:space="preserve">Nominal pipe size, d;  Pipe length,  L; Pipe roughness,   </t>
  </si>
  <si>
    <t>Pipe fittngs:</t>
  </si>
  <si>
    <t>Fitting</t>
  </si>
  <si>
    <t>Threaded, standard</t>
  </si>
  <si>
    <t>r/D = 1</t>
  </si>
  <si>
    <t>Threaded, long radius</t>
  </si>
  <si>
    <t>r/D = 1.5</t>
  </si>
  <si>
    <t>Flanged, welded, bends</t>
  </si>
  <si>
    <t>Fitting Type</t>
  </si>
  <si>
    <r>
      <t>K</t>
    </r>
    <r>
      <rPr>
        <vertAlign val="subscript"/>
        <sz val="10"/>
        <rFont val="Arial"/>
        <family val="2"/>
      </rPr>
      <t>d</t>
    </r>
  </si>
  <si>
    <r>
      <t>K</t>
    </r>
    <r>
      <rPr>
        <vertAlign val="subscript"/>
        <sz val="10"/>
        <rFont val="Arial"/>
        <family val="2"/>
      </rPr>
      <t>m</t>
    </r>
  </si>
  <si>
    <t>Elbows 90 deg</t>
  </si>
  <si>
    <r>
      <t>K</t>
    </r>
    <r>
      <rPr>
        <vertAlign val="subscript"/>
        <sz val="10"/>
        <rFont val="Arial"/>
        <family val="2"/>
      </rPr>
      <t>i</t>
    </r>
  </si>
  <si>
    <t>r/D=1</t>
  </si>
  <si>
    <t>r/D=2</t>
  </si>
  <si>
    <t>r/D=4</t>
  </si>
  <si>
    <t>r/D=6</t>
  </si>
  <si>
    <t>Mitered</t>
  </si>
  <si>
    <t>1 weld, 90 deg</t>
  </si>
  <si>
    <t>2 welds, 45 deg</t>
  </si>
  <si>
    <t>3 welds, 30 deg</t>
  </si>
  <si>
    <t>Elbows 45 deg</t>
  </si>
  <si>
    <t>Long radius</t>
  </si>
  <si>
    <t>Mitered, 1 weld</t>
  </si>
  <si>
    <t>Mitered,  2 welds</t>
  </si>
  <si>
    <t>r/D=1.5</t>
  </si>
  <si>
    <t>45 deg</t>
  </si>
  <si>
    <t>22.5 deg</t>
  </si>
  <si>
    <t>Elbows</t>
  </si>
  <si>
    <t>Threaded,</t>
  </si>
  <si>
    <t>Close return bend</t>
  </si>
  <si>
    <t>180 deg</t>
  </si>
  <si>
    <t>Flanged</t>
  </si>
  <si>
    <t>All</t>
  </si>
  <si>
    <t>Tees</t>
  </si>
  <si>
    <t>Through-branch</t>
  </si>
  <si>
    <t>(as elbow)</t>
  </si>
  <si>
    <t>Threaded</t>
  </si>
  <si>
    <t>Stub-in-branch</t>
  </si>
  <si>
    <t>Run Through threaded</t>
  </si>
  <si>
    <t>Valves</t>
  </si>
  <si>
    <t>Angle valve-45 deg</t>
  </si>
  <si>
    <t xml:space="preserve">Full line size, </t>
  </si>
  <si>
    <t>Angle valve-  90 deg</t>
  </si>
  <si>
    <t>Globe valve</t>
  </si>
  <si>
    <t>Plug valve</t>
  </si>
  <si>
    <t xml:space="preserve">Standard, </t>
  </si>
  <si>
    <t>Branch flow</t>
  </si>
  <si>
    <t>Straight through</t>
  </si>
  <si>
    <t>Three way(flow thru)</t>
  </si>
  <si>
    <t>Gate valve</t>
  </si>
  <si>
    <t>Ball valve</t>
  </si>
  <si>
    <t>Diaphragm</t>
  </si>
  <si>
    <t>Dam-type</t>
  </si>
  <si>
    <t>Swing check</t>
  </si>
  <si>
    <t>Lift check</t>
  </si>
  <si>
    <t>NOTATIONS:</t>
  </si>
  <si>
    <t>FLUID PHASE:</t>
  </si>
  <si>
    <t>RESULTS</t>
  </si>
  <si>
    <t>SPECIFIC GRAVITY</t>
  </si>
  <si>
    <t>REYNOLDS NUMBER</t>
  </si>
  <si>
    <t>FLOW REGIME:</t>
  </si>
  <si>
    <t>CHEN'S FRICTION FACTOR</t>
  </si>
  <si>
    <t>(6.7/Re)^0.9</t>
  </si>
  <si>
    <t>A</t>
  </si>
  <si>
    <t>1/SQRT(FC)</t>
  </si>
  <si>
    <t>Fittings</t>
  </si>
  <si>
    <t>Number</t>
  </si>
  <si>
    <t>K1</t>
  </si>
  <si>
    <t>nK1</t>
  </si>
  <si>
    <t>Ki</t>
  </si>
  <si>
    <t>nKi</t>
  </si>
  <si>
    <t>Kd</t>
  </si>
  <si>
    <t>Kf</t>
  </si>
  <si>
    <t>Total</t>
  </si>
  <si>
    <t>Using Darby's 3-K Method</t>
  </si>
  <si>
    <t>FRICTION FACTOR, f =64/RE</t>
  </si>
  <si>
    <t>FOR LAMINAR FLOW REGIME:</t>
  </si>
  <si>
    <t>&amp; SCHEDULE NUMBER:</t>
  </si>
  <si>
    <t>g</t>
  </si>
  <si>
    <t>Q</t>
  </si>
  <si>
    <t>SpGr</t>
  </si>
  <si>
    <t>G</t>
  </si>
  <si>
    <t>L</t>
  </si>
  <si>
    <t>L/D=</t>
  </si>
  <si>
    <t>OTHER PIPE SIZE CONFIGURATIONS</t>
  </si>
  <si>
    <t>THE TOTAL PRESSURE LOSS AT THE SUCTION</t>
  </si>
  <si>
    <t>ACCELERATION DUE TO GRAVITY</t>
  </si>
  <si>
    <t>D,n</t>
  </si>
  <si>
    <t>Square edged</t>
  </si>
  <si>
    <t>A4=</t>
  </si>
  <si>
    <t>A5=</t>
  </si>
  <si>
    <t>Churchill  friction factor, f=</t>
  </si>
  <si>
    <t>Dn = nominal pipe diameter</t>
  </si>
  <si>
    <t>cP</t>
  </si>
  <si>
    <t>CONVERSION FACTOR</t>
  </si>
  <si>
    <t>PIPE ROUGHNESS</t>
  </si>
  <si>
    <t>PIPE ELEVATION</t>
  </si>
  <si>
    <t>PIPE LENGTH</t>
  </si>
  <si>
    <t>FLOW RATE</t>
  </si>
  <si>
    <t>DENSITY</t>
  </si>
  <si>
    <t>VISCOSITY</t>
  </si>
  <si>
    <t>STATIC PRESSURE:</t>
  </si>
  <si>
    <t>NOMINAL PIPE DIA.</t>
  </si>
  <si>
    <t>INTERNAL  PIPE DIA.</t>
  </si>
  <si>
    <t>VESSEL PRESSURE</t>
  </si>
  <si>
    <t>VELOCITY, v</t>
  </si>
  <si>
    <t>PIPE AREA, A</t>
  </si>
  <si>
    <t>Exit</t>
  </si>
  <si>
    <t>90o Elbows</t>
  </si>
  <si>
    <t>T</t>
  </si>
  <si>
    <t>PUMPING TEMPERATURE</t>
  </si>
  <si>
    <t>Liquid</t>
  </si>
  <si>
    <r>
      <t>K</t>
    </r>
    <r>
      <rPr>
        <vertAlign val="subscript"/>
        <sz val="14"/>
        <rFont val="Times New Roman"/>
        <family val="1"/>
      </rPr>
      <t>m</t>
    </r>
  </si>
  <si>
    <r>
      <t>K</t>
    </r>
    <r>
      <rPr>
        <vertAlign val="subscript"/>
        <sz val="14"/>
        <rFont val="Times New Roman"/>
        <family val="1"/>
      </rPr>
      <t>i</t>
    </r>
  </si>
  <si>
    <r>
      <t>K</t>
    </r>
    <r>
      <rPr>
        <vertAlign val="subscript"/>
        <sz val="14"/>
        <rFont val="Times New Roman"/>
        <family val="1"/>
      </rPr>
      <t>d</t>
    </r>
  </si>
  <si>
    <t>The resistance coefficient for straight pipe, Kf</t>
  </si>
  <si>
    <t>Resistance due to fittings</t>
  </si>
  <si>
    <t>Total Resistance due to pipe + fittings</t>
  </si>
  <si>
    <t>HEAD LOSS DUE TO Pipe and  FITTINGS:</t>
  </si>
  <si>
    <t>Frictional loss due to pipe and fittings</t>
  </si>
  <si>
    <t>Pressure at point 1, P1</t>
  </si>
  <si>
    <t>Pressure at point 2, P2</t>
  </si>
  <si>
    <r>
      <t>90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Ell</t>
    </r>
  </si>
  <si>
    <t>Tees (F.t.b)</t>
  </si>
  <si>
    <t>Reducer</t>
  </si>
  <si>
    <t>BETA=</t>
  </si>
  <si>
    <t>THETHA=</t>
  </si>
  <si>
    <t xml:space="preserve">Square edged </t>
  </si>
  <si>
    <t>inlet</t>
  </si>
  <si>
    <t>45o. Ell</t>
  </si>
  <si>
    <t>Check valve</t>
  </si>
  <si>
    <t>Lift check valve</t>
  </si>
  <si>
    <t xml:space="preserve">No exit loss, if </t>
  </si>
  <si>
    <t xml:space="preserve">discharge above </t>
  </si>
  <si>
    <t>liquid in the</t>
  </si>
  <si>
    <t>column</t>
  </si>
  <si>
    <t>90o Elbows (r/D=1.5)</t>
  </si>
  <si>
    <t>LPG</t>
  </si>
  <si>
    <t>l/min.</t>
  </si>
  <si>
    <t>m</t>
  </si>
  <si>
    <t>barg</t>
  </si>
  <si>
    <t>mm</t>
  </si>
  <si>
    <t>m3/h</t>
  </si>
  <si>
    <t>kg/m3</t>
  </si>
  <si>
    <t>kg/h</t>
  </si>
  <si>
    <t>m/s2</t>
  </si>
  <si>
    <t>(kgm. m/kgf.s2)</t>
  </si>
  <si>
    <t>oC</t>
  </si>
  <si>
    <t>bara</t>
  </si>
  <si>
    <t>kgf - m/kgm</t>
  </si>
  <si>
    <t>m/s</t>
  </si>
  <si>
    <t>kgf -m/kgm</t>
  </si>
  <si>
    <t>Vapor pressure</t>
  </si>
  <si>
    <t>N/m2</t>
  </si>
  <si>
    <t>Total length of straight pipe</t>
  </si>
  <si>
    <t>kgf. m/kgm</t>
  </si>
  <si>
    <t>1 bar</t>
  </si>
  <si>
    <t>bar/100m</t>
  </si>
  <si>
    <t>PRESSURE DROP, bar/100m</t>
  </si>
  <si>
    <t>Other pipe size configurations:</t>
  </si>
  <si>
    <t>NEXT SMALLER SIZE, in.</t>
  </si>
  <si>
    <t>INTERNAL DIA., mm..</t>
  </si>
  <si>
    <t>SMALLER SIZE VELOCITY, m/s.</t>
  </si>
  <si>
    <t>e/D=</t>
  </si>
  <si>
    <t>Smaller pipe size press. Drop, bar/100 m</t>
  </si>
  <si>
    <t>NEXT  LARGER SIZE, in..:</t>
  </si>
  <si>
    <t>INTERNAL DIA. mm.:</t>
  </si>
  <si>
    <t>LARGER SIZE VELOCITY, m/s.</t>
  </si>
  <si>
    <t>CHEN'S FRICTION FACTOR, FC FOR TURBULENT FLOW</t>
  </si>
  <si>
    <t>Larger pipe size  press. Drop, bar/100 m</t>
  </si>
  <si>
    <t>bar</t>
  </si>
  <si>
    <t>POWER REQUIRED:</t>
  </si>
  <si>
    <t>POWER TO BE SUPPLIED (Eff=60%)</t>
  </si>
  <si>
    <t>COLUMN PRESSURE</t>
  </si>
  <si>
    <t>THE TOTAL PRESSURE LOSS AT THE DISCHARGE</t>
  </si>
  <si>
    <r>
      <t>g</t>
    </r>
    <r>
      <rPr>
        <vertAlign val="subscript"/>
        <sz val="14"/>
        <rFont val="Times New Roman"/>
        <family val="1"/>
      </rPr>
      <t>c</t>
    </r>
  </si>
  <si>
    <r>
      <t>m</t>
    </r>
    <r>
      <rPr>
        <vertAlign val="superscript"/>
        <sz val="14"/>
        <rFont val="Times New Roman"/>
        <family val="1"/>
      </rPr>
      <t>2</t>
    </r>
  </si>
  <si>
    <r>
      <t>VELOCITY HEAD, v</t>
    </r>
    <r>
      <rPr>
        <vertAlign val="superscript"/>
        <sz val="14"/>
        <rFont val="Times New Roman"/>
        <family val="1"/>
      </rPr>
      <t>2</t>
    </r>
    <r>
      <rPr>
        <sz val="14"/>
        <rFont val="Times New Roman"/>
        <family val="1"/>
      </rPr>
      <t>/2g</t>
    </r>
    <r>
      <rPr>
        <vertAlign val="subscript"/>
        <sz val="14"/>
        <rFont val="Times New Roman"/>
        <family val="1"/>
      </rPr>
      <t>c</t>
    </r>
  </si>
  <si>
    <r>
      <t>CHEN'S FRICTION FACTOR, f</t>
    </r>
    <r>
      <rPr>
        <b/>
        <vertAlign val="subscript"/>
        <sz val="14"/>
        <rFont val="Times New Roman"/>
        <family val="1"/>
      </rPr>
      <t>C</t>
    </r>
    <r>
      <rPr>
        <b/>
        <sz val="14"/>
        <rFont val="Times New Roman"/>
        <family val="1"/>
      </rPr>
      <t xml:space="preserve"> FOR TURBULENT FLOW</t>
    </r>
  </si>
  <si>
    <r>
      <t>Churchill friction factor, Fanning, f</t>
    </r>
    <r>
      <rPr>
        <vertAlign val="subscript"/>
        <sz val="14"/>
        <rFont val="Times New Roman"/>
        <family val="1"/>
      </rPr>
      <t>F</t>
    </r>
    <r>
      <rPr>
        <sz val="14"/>
        <rFont val="Times New Roman"/>
        <family val="1"/>
      </rPr>
      <t xml:space="preserve">  =</t>
    </r>
  </si>
  <si>
    <r>
      <t>DARCY FRICTION FACTOR, f</t>
    </r>
    <r>
      <rPr>
        <vertAlign val="subscript"/>
        <sz val="14"/>
        <rFont val="Times New Roman"/>
        <family val="1"/>
      </rPr>
      <t>D</t>
    </r>
  </si>
  <si>
    <r>
      <t>CHEN'S FRICTION FACTOR, f</t>
    </r>
    <r>
      <rPr>
        <b/>
        <vertAlign val="subscript"/>
        <sz val="14"/>
        <rFont val="Times New Roman"/>
        <family val="1"/>
      </rPr>
      <t>C</t>
    </r>
  </si>
  <si>
    <r>
      <t>DARCY FRICTION FACTOR, f</t>
    </r>
    <r>
      <rPr>
        <b/>
        <vertAlign val="subscript"/>
        <sz val="14"/>
        <rFont val="Times New Roman"/>
        <family val="1"/>
      </rPr>
      <t>D</t>
    </r>
  </si>
  <si>
    <r>
      <t>CHEN'S FRICTION FACTOR, f</t>
    </r>
    <r>
      <rPr>
        <vertAlign val="subscript"/>
        <sz val="14"/>
        <rFont val="Times New Roman"/>
        <family val="1"/>
      </rPr>
      <t>C</t>
    </r>
  </si>
  <si>
    <r>
      <t>(kg</t>
    </r>
    <r>
      <rPr>
        <vertAlign val="subscript"/>
        <sz val="14"/>
        <rFont val="Times New Roman"/>
        <family val="1"/>
      </rPr>
      <t>m</t>
    </r>
    <r>
      <rPr>
        <sz val="14"/>
        <rFont val="Times New Roman"/>
        <family val="1"/>
      </rPr>
      <t>. m/kg</t>
    </r>
    <r>
      <rPr>
        <vertAlign val="subscript"/>
        <sz val="14"/>
        <rFont val="Times New Roman"/>
        <family val="1"/>
      </rPr>
      <t>f</t>
    </r>
    <r>
      <rPr>
        <sz val="14"/>
        <rFont val="Times New Roman"/>
        <family val="1"/>
      </rPr>
      <t>.s</t>
    </r>
    <r>
      <rPr>
        <vertAlign val="superscript"/>
        <sz val="14"/>
        <rFont val="Times New Roman"/>
        <family val="1"/>
      </rPr>
      <t>2</t>
    </r>
    <r>
      <rPr>
        <sz val="14"/>
        <rFont val="Times New Roman"/>
        <family val="1"/>
      </rPr>
      <t>)</t>
    </r>
  </si>
  <si>
    <r>
      <t>kg</t>
    </r>
    <r>
      <rPr>
        <vertAlign val="subscript"/>
        <sz val="14"/>
        <rFont val="Times New Roman"/>
        <family val="1"/>
      </rPr>
      <t>f</t>
    </r>
    <r>
      <rPr>
        <sz val="14"/>
        <rFont val="Times New Roman"/>
        <family val="1"/>
      </rPr>
      <t xml:space="preserve"> - m/kg</t>
    </r>
    <r>
      <rPr>
        <vertAlign val="subscript"/>
        <sz val="14"/>
        <rFont val="Times New Roman"/>
        <family val="1"/>
      </rPr>
      <t>m</t>
    </r>
    <r>
      <rPr>
        <sz val="14"/>
        <rFont val="Times New Roman"/>
        <family val="1"/>
      </rPr>
      <t xml:space="preserve">  </t>
    </r>
  </si>
  <si>
    <r>
      <t>N/m</t>
    </r>
    <r>
      <rPr>
        <vertAlign val="superscript"/>
        <sz val="14"/>
        <rFont val="Times New Roman"/>
        <family val="1"/>
      </rPr>
      <t>2</t>
    </r>
  </si>
  <si>
    <t>`</t>
  </si>
  <si>
    <t>Head  at point 2, H2</t>
  </si>
  <si>
    <t>Head  at point 1, H1</t>
  </si>
  <si>
    <t>Flow rate, m3/h</t>
  </si>
  <si>
    <t>kW</t>
  </si>
  <si>
    <t>Differentail pressure drop across the pump P-1071A</t>
  </si>
  <si>
    <t>Pump Calculation</t>
  </si>
  <si>
    <t>In terms of Head.</t>
  </si>
  <si>
    <t>Head loss across pump, H</t>
  </si>
  <si>
    <t>Flow rate, Q</t>
  </si>
  <si>
    <t>Pump Calculation:</t>
  </si>
  <si>
    <t>Table 14-10. 3-K Constants for Loss Coefficients for Valves and Fittings (Darby, R [22])</t>
  </si>
  <si>
    <t>ID</t>
  </si>
  <si>
    <t>Pressure drop calculations for incompressible fluids  of Example 15-9 by A.K. Coker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</si>
</sst>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vertAlign val="subscript"/>
      <sz val="14"/>
      <name val="Times New Roman"/>
      <family val="1"/>
    </font>
    <font>
      <vertAlign val="superscript"/>
      <sz val="14"/>
      <name val="Times New Roman"/>
      <family val="1"/>
    </font>
    <font>
      <b/>
      <sz val="14"/>
      <name val="Tmes new Roman"/>
    </font>
    <font>
      <sz val="14"/>
      <name val="Tmes new Roman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3" fillId="2" borderId="1" xfId="0" applyFont="1" applyFill="1" applyBorder="1" applyAlignment="1">
      <alignment horizontal="center"/>
    </xf>
    <xf numFmtId="0" fontId="4" fillId="4" borderId="0" xfId="0" applyFont="1" applyFill="1"/>
    <xf numFmtId="0" fontId="0" fillId="4" borderId="0" xfId="0" applyFill="1"/>
    <xf numFmtId="0" fontId="0" fillId="5" borderId="0" xfId="0" applyFill="1"/>
    <xf numFmtId="0" fontId="4" fillId="5" borderId="0" xfId="0" applyFont="1" applyFill="1"/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7" fillId="4" borderId="0" xfId="0" applyFont="1" applyFill="1" applyBorder="1"/>
    <xf numFmtId="0" fontId="11" fillId="4" borderId="0" xfId="0" applyFont="1" applyFill="1" applyBorder="1"/>
    <xf numFmtId="0" fontId="9" fillId="3" borderId="0" xfId="0" applyFont="1" applyFill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0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9" fillId="7" borderId="0" xfId="0" applyFont="1" applyFill="1"/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7" fillId="7" borderId="0" xfId="0" applyFont="1" applyFill="1"/>
    <xf numFmtId="0" fontId="8" fillId="7" borderId="0" xfId="0" applyFont="1" applyFill="1"/>
    <xf numFmtId="0" fontId="0" fillId="7" borderId="0" xfId="0" applyFill="1"/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13" Type="http://schemas.openxmlformats.org/officeDocument/2006/relationships/image" Target="../media/image17.emf"/><Relationship Id="rId3" Type="http://schemas.openxmlformats.org/officeDocument/2006/relationships/image" Target="../media/image9.emf"/><Relationship Id="rId7" Type="http://schemas.openxmlformats.org/officeDocument/2006/relationships/image" Target="../media/image5.emf"/><Relationship Id="rId12" Type="http://schemas.openxmlformats.org/officeDocument/2006/relationships/image" Target="../media/image16.emf"/><Relationship Id="rId2" Type="http://schemas.openxmlformats.org/officeDocument/2006/relationships/image" Target="../media/image8.emf"/><Relationship Id="rId1" Type="http://schemas.openxmlformats.org/officeDocument/2006/relationships/image" Target="../media/image1.emf"/><Relationship Id="rId6" Type="http://schemas.openxmlformats.org/officeDocument/2006/relationships/image" Target="../media/image4.emf"/><Relationship Id="rId11" Type="http://schemas.openxmlformats.org/officeDocument/2006/relationships/image" Target="../media/image12.emf"/><Relationship Id="rId5" Type="http://schemas.openxmlformats.org/officeDocument/2006/relationships/image" Target="../media/image3.emf"/><Relationship Id="rId10" Type="http://schemas.openxmlformats.org/officeDocument/2006/relationships/image" Target="../media/image7.emf"/><Relationship Id="rId4" Type="http://schemas.openxmlformats.org/officeDocument/2006/relationships/image" Target="../media/image15.emf"/><Relationship Id="rId9" Type="http://schemas.openxmlformats.org/officeDocument/2006/relationships/image" Target="../media/image6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" Type="http://schemas.openxmlformats.org/officeDocument/2006/relationships/oleObject" Target="../embeddings/oleObject1.bin"/><Relationship Id="rId21" Type="http://schemas.openxmlformats.org/officeDocument/2006/relationships/oleObject" Target="../embeddings/oleObject19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20" Type="http://schemas.openxmlformats.org/officeDocument/2006/relationships/oleObject" Target="../embeddings/oleObject1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23" Type="http://schemas.openxmlformats.org/officeDocument/2006/relationships/oleObject" Target="../embeddings/oleObject21.bin"/><Relationship Id="rId10" Type="http://schemas.openxmlformats.org/officeDocument/2006/relationships/oleObject" Target="../embeddings/oleObject8.bin"/><Relationship Id="rId19" Type="http://schemas.openxmlformats.org/officeDocument/2006/relationships/oleObject" Target="../embeddings/oleObject17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Relationship Id="rId22" Type="http://schemas.openxmlformats.org/officeDocument/2006/relationships/oleObject" Target="../embeddings/oleObject2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7.bin"/><Relationship Id="rId13" Type="http://schemas.openxmlformats.org/officeDocument/2006/relationships/oleObject" Target="../embeddings/oleObject32.bin"/><Relationship Id="rId18" Type="http://schemas.openxmlformats.org/officeDocument/2006/relationships/oleObject" Target="../embeddings/oleObject37.bin"/><Relationship Id="rId3" Type="http://schemas.openxmlformats.org/officeDocument/2006/relationships/oleObject" Target="../embeddings/oleObject22.bin"/><Relationship Id="rId7" Type="http://schemas.openxmlformats.org/officeDocument/2006/relationships/oleObject" Target="../embeddings/oleObject26.bin"/><Relationship Id="rId12" Type="http://schemas.openxmlformats.org/officeDocument/2006/relationships/oleObject" Target="../embeddings/oleObject31.bin"/><Relationship Id="rId17" Type="http://schemas.openxmlformats.org/officeDocument/2006/relationships/oleObject" Target="../embeddings/oleObject36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35.bin"/><Relationship Id="rId20" Type="http://schemas.openxmlformats.org/officeDocument/2006/relationships/oleObject" Target="../embeddings/oleObject39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5.bin"/><Relationship Id="rId11" Type="http://schemas.openxmlformats.org/officeDocument/2006/relationships/oleObject" Target="../embeddings/oleObject30.bin"/><Relationship Id="rId5" Type="http://schemas.openxmlformats.org/officeDocument/2006/relationships/oleObject" Target="../embeddings/oleObject24.bin"/><Relationship Id="rId15" Type="http://schemas.openxmlformats.org/officeDocument/2006/relationships/oleObject" Target="../embeddings/oleObject34.bin"/><Relationship Id="rId10" Type="http://schemas.openxmlformats.org/officeDocument/2006/relationships/oleObject" Target="../embeddings/oleObject29.bin"/><Relationship Id="rId19" Type="http://schemas.openxmlformats.org/officeDocument/2006/relationships/oleObject" Target="../embeddings/oleObject38.bin"/><Relationship Id="rId4" Type="http://schemas.openxmlformats.org/officeDocument/2006/relationships/oleObject" Target="../embeddings/oleObject23.bin"/><Relationship Id="rId9" Type="http://schemas.openxmlformats.org/officeDocument/2006/relationships/oleObject" Target="../embeddings/oleObject28.bin"/><Relationship Id="rId14" Type="http://schemas.openxmlformats.org/officeDocument/2006/relationships/oleObject" Target="../embeddings/oleObject3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6"/>
  <sheetViews>
    <sheetView tabSelected="1" zoomScaleNormal="100" workbookViewId="0">
      <selection activeCell="H15" sqref="H15"/>
    </sheetView>
  </sheetViews>
  <sheetFormatPr defaultRowHeight="12.75"/>
  <cols>
    <col min="1" max="1" width="36.42578125" customWidth="1"/>
    <col min="4" max="4" width="12.85546875" customWidth="1"/>
    <col min="5" max="5" width="18.42578125" customWidth="1"/>
    <col min="6" max="6" width="13.28515625" customWidth="1"/>
    <col min="7" max="7" width="16.140625" bestFit="1" customWidth="1"/>
    <col min="8" max="8" width="12.7109375" customWidth="1"/>
    <col min="9" max="9" width="14.5703125" customWidth="1"/>
    <col min="10" max="10" width="13.28515625" customWidth="1"/>
    <col min="11" max="11" width="14.7109375" customWidth="1"/>
    <col min="12" max="12" width="20.85546875" customWidth="1"/>
    <col min="13" max="13" width="20" customWidth="1"/>
    <col min="14" max="14" width="19" customWidth="1"/>
    <col min="15" max="15" width="11.140625" customWidth="1"/>
    <col min="16" max="16" width="10.42578125" customWidth="1"/>
    <col min="17" max="17" width="14.85546875" customWidth="1"/>
  </cols>
  <sheetData>
    <row r="1" spans="1:17" ht="18.75">
      <c r="A1" s="33" t="s">
        <v>205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7" ht="18.7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7" ht="18.7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7" ht="18.7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7" ht="18.7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7" ht="18.75">
      <c r="A6" s="34" t="s">
        <v>4</v>
      </c>
      <c r="B6" s="34"/>
      <c r="C6" s="34"/>
      <c r="D6" s="34"/>
      <c r="E6" s="34" t="s">
        <v>5</v>
      </c>
      <c r="F6" s="33"/>
      <c r="G6" s="34"/>
      <c r="H6" s="34"/>
      <c r="I6" s="34"/>
      <c r="J6" s="34"/>
      <c r="K6" s="34"/>
      <c r="L6" s="2"/>
      <c r="M6" s="2"/>
      <c r="N6" s="11" t="s">
        <v>203</v>
      </c>
      <c r="O6" s="3"/>
      <c r="P6" s="3"/>
      <c r="Q6" s="2"/>
    </row>
    <row r="7" spans="1:17" ht="18.7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2"/>
      <c r="M7" s="2" t="s">
        <v>97</v>
      </c>
      <c r="N7" s="2"/>
      <c r="O7" s="3"/>
      <c r="P7" s="3"/>
      <c r="Q7" s="3"/>
    </row>
    <row r="8" spans="1:17" ht="18.75">
      <c r="A8" s="33" t="s">
        <v>60</v>
      </c>
      <c r="B8" s="34"/>
      <c r="C8" s="34"/>
      <c r="D8" s="34"/>
      <c r="E8" s="34"/>
      <c r="F8" s="34"/>
      <c r="G8" s="34"/>
      <c r="H8" s="34"/>
      <c r="I8" s="35"/>
      <c r="J8" s="34"/>
      <c r="K8" s="34"/>
      <c r="L8" s="3"/>
      <c r="M8" s="3"/>
      <c r="N8" s="3"/>
      <c r="O8" s="3"/>
      <c r="P8" s="3"/>
      <c r="Q8" s="3"/>
    </row>
    <row r="9" spans="1:17" ht="18.7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"/>
      <c r="M9" s="3"/>
      <c r="N9" s="3"/>
      <c r="O9" s="3"/>
      <c r="P9" s="3"/>
      <c r="Q9" s="3"/>
    </row>
    <row r="10" spans="1:17" ht="18.75">
      <c r="A10" s="34" t="s">
        <v>61</v>
      </c>
      <c r="B10" s="34"/>
      <c r="C10" s="35" t="s">
        <v>116</v>
      </c>
      <c r="D10" s="35" t="s">
        <v>142</v>
      </c>
      <c r="E10" s="35"/>
      <c r="F10" s="34"/>
      <c r="G10" s="34"/>
      <c r="H10" s="34"/>
      <c r="I10" s="34"/>
      <c r="J10" s="34"/>
      <c r="K10" s="34"/>
      <c r="L10" s="3"/>
      <c r="M10" s="3"/>
      <c r="N10" s="3"/>
      <c r="O10" s="3"/>
      <c r="P10" s="3"/>
      <c r="Q10" s="3"/>
    </row>
    <row r="11" spans="1:17" ht="18.75">
      <c r="A11" s="34" t="s">
        <v>108</v>
      </c>
      <c r="B11" s="34"/>
      <c r="C11" s="35" t="s">
        <v>204</v>
      </c>
      <c r="D11" s="35">
        <v>202.7</v>
      </c>
      <c r="E11" s="35" t="s">
        <v>146</v>
      </c>
      <c r="F11" s="34"/>
      <c r="G11" s="34"/>
      <c r="H11" s="34"/>
      <c r="I11" s="35"/>
      <c r="J11" s="34"/>
      <c r="K11" s="34"/>
      <c r="L11" s="3"/>
      <c r="M11" s="3"/>
      <c r="N11" s="3"/>
      <c r="O11" s="3"/>
      <c r="P11" s="3"/>
      <c r="Q11" s="3"/>
    </row>
    <row r="12" spans="1:17" ht="18.75">
      <c r="A12" s="34" t="s">
        <v>107</v>
      </c>
      <c r="B12" s="34"/>
      <c r="C12" s="35" t="s">
        <v>92</v>
      </c>
      <c r="D12" s="35">
        <v>203.2</v>
      </c>
      <c r="E12" s="35" t="s">
        <v>146</v>
      </c>
      <c r="F12" s="34"/>
      <c r="G12" s="34"/>
      <c r="H12" s="34"/>
      <c r="I12" s="34"/>
      <c r="J12" s="34"/>
      <c r="K12" s="34"/>
      <c r="L12" s="3" t="s">
        <v>12</v>
      </c>
      <c r="M12" s="3" t="s">
        <v>6</v>
      </c>
      <c r="N12" s="3"/>
      <c r="O12" s="3" t="s">
        <v>14</v>
      </c>
      <c r="P12" s="3" t="s">
        <v>16</v>
      </c>
      <c r="Q12" s="3" t="s">
        <v>13</v>
      </c>
    </row>
    <row r="13" spans="1:17" ht="18.75">
      <c r="A13" s="34" t="s">
        <v>82</v>
      </c>
      <c r="B13" s="34"/>
      <c r="C13" s="35"/>
      <c r="D13" s="35">
        <v>40</v>
      </c>
      <c r="E13" s="35"/>
      <c r="F13" s="34"/>
      <c r="G13" s="34"/>
      <c r="H13" s="34"/>
      <c r="I13" s="34"/>
      <c r="J13" s="34"/>
      <c r="K13" s="34"/>
      <c r="L13" s="3"/>
      <c r="M13" s="3"/>
      <c r="N13" s="3"/>
      <c r="O13" s="3"/>
      <c r="P13" s="3"/>
      <c r="Q13" s="3"/>
    </row>
    <row r="14" spans="1:17" ht="18.75">
      <c r="A14" s="34" t="s">
        <v>103</v>
      </c>
      <c r="B14" s="34"/>
      <c r="C14" s="35" t="s">
        <v>84</v>
      </c>
      <c r="D14" s="35">
        <v>122.5</v>
      </c>
      <c r="E14" s="35" t="s">
        <v>147</v>
      </c>
      <c r="F14" s="34"/>
      <c r="G14" s="34"/>
      <c r="H14" s="34"/>
      <c r="I14" s="34"/>
      <c r="J14" s="34"/>
      <c r="K14" s="34"/>
      <c r="L14" s="3" t="s">
        <v>15</v>
      </c>
      <c r="M14" s="3" t="s">
        <v>7</v>
      </c>
      <c r="N14" s="3" t="s">
        <v>8</v>
      </c>
      <c r="O14" s="3">
        <v>800</v>
      </c>
      <c r="P14" s="3">
        <v>0.14000000000000001</v>
      </c>
      <c r="Q14" s="3">
        <v>4</v>
      </c>
    </row>
    <row r="15" spans="1:17" ht="18.75">
      <c r="A15" s="34" t="s">
        <v>103</v>
      </c>
      <c r="B15" s="34"/>
      <c r="C15" s="35" t="s">
        <v>84</v>
      </c>
      <c r="D15" s="35">
        <f>ROUND((D14*1000/60),1)</f>
        <v>2041.7</v>
      </c>
      <c r="E15" s="35" t="s">
        <v>143</v>
      </c>
      <c r="F15" s="34"/>
      <c r="G15" s="34"/>
      <c r="H15" s="34"/>
      <c r="I15" s="34"/>
      <c r="J15" s="34"/>
      <c r="K15" s="34"/>
      <c r="L15" s="3"/>
      <c r="M15" s="3" t="s">
        <v>9</v>
      </c>
      <c r="N15" s="3" t="s">
        <v>10</v>
      </c>
      <c r="O15" s="3">
        <v>800</v>
      </c>
      <c r="P15" s="3">
        <v>7.0999999999999994E-2</v>
      </c>
      <c r="Q15" s="3">
        <v>4.2</v>
      </c>
    </row>
    <row r="16" spans="1:17" ht="18.75">
      <c r="A16" s="34" t="s">
        <v>63</v>
      </c>
      <c r="B16" s="34"/>
      <c r="C16" s="35" t="s">
        <v>85</v>
      </c>
      <c r="D16" s="35">
        <v>0.48799999999999999</v>
      </c>
      <c r="E16" s="35"/>
      <c r="F16" s="34"/>
      <c r="G16" s="34"/>
      <c r="H16" s="34"/>
      <c r="I16" s="34"/>
      <c r="J16" s="34"/>
      <c r="K16" s="34"/>
      <c r="L16" s="3"/>
      <c r="M16" s="3" t="s">
        <v>11</v>
      </c>
      <c r="N16" s="3" t="s">
        <v>17</v>
      </c>
      <c r="O16" s="3">
        <v>800</v>
      </c>
      <c r="P16" s="3">
        <v>9.0999999999999998E-2</v>
      </c>
      <c r="Q16" s="3">
        <v>4</v>
      </c>
    </row>
    <row r="17" spans="1:17" ht="18.75">
      <c r="A17" s="34" t="s">
        <v>104</v>
      </c>
      <c r="B17" s="34"/>
      <c r="C17" s="35"/>
      <c r="D17" s="35">
        <f>(1000*D16)</f>
        <v>488</v>
      </c>
      <c r="E17" s="35" t="s">
        <v>148</v>
      </c>
      <c r="F17" s="34"/>
      <c r="G17" s="34"/>
      <c r="H17" s="34"/>
      <c r="I17" s="34"/>
      <c r="J17" s="34"/>
      <c r="K17" s="34"/>
      <c r="L17" s="3"/>
      <c r="M17" s="3"/>
      <c r="N17" s="3" t="s">
        <v>18</v>
      </c>
      <c r="O17" s="3">
        <v>800</v>
      </c>
      <c r="P17" s="3">
        <v>5.6000000000000001E-2</v>
      </c>
      <c r="Q17" s="3">
        <v>3.9</v>
      </c>
    </row>
    <row r="18" spans="1:17" ht="18.75">
      <c r="A18" s="34" t="s">
        <v>103</v>
      </c>
      <c r="B18" s="34"/>
      <c r="C18" s="35" t="s">
        <v>86</v>
      </c>
      <c r="D18" s="35">
        <f>ROUND((D17*D14),2)</f>
        <v>59780</v>
      </c>
      <c r="E18" s="35" t="s">
        <v>149</v>
      </c>
      <c r="F18" s="34"/>
      <c r="G18" s="34"/>
      <c r="H18" s="34"/>
      <c r="I18" s="34"/>
      <c r="J18" s="34"/>
      <c r="K18" s="34"/>
      <c r="L18" s="3"/>
      <c r="M18" s="3"/>
      <c r="N18" s="3" t="s">
        <v>19</v>
      </c>
      <c r="O18" s="3">
        <v>800</v>
      </c>
      <c r="P18" s="3">
        <v>6.6000000000000003E-2</v>
      </c>
      <c r="Q18" s="3">
        <v>3.9</v>
      </c>
    </row>
    <row r="19" spans="1:17" ht="18.75">
      <c r="A19" s="34" t="s">
        <v>105</v>
      </c>
      <c r="B19" s="34"/>
      <c r="C19" s="35"/>
      <c r="D19" s="35">
        <v>0.112</v>
      </c>
      <c r="E19" s="35" t="s">
        <v>98</v>
      </c>
      <c r="F19" s="34"/>
      <c r="G19" s="34"/>
      <c r="H19" s="34"/>
      <c r="I19" s="34"/>
      <c r="J19" s="34"/>
      <c r="K19" s="34"/>
      <c r="L19" s="3"/>
      <c r="M19" s="3"/>
      <c r="N19" s="3" t="s">
        <v>20</v>
      </c>
      <c r="O19" s="3">
        <v>800</v>
      </c>
      <c r="P19" s="3">
        <v>7.4999999999999997E-2</v>
      </c>
      <c r="Q19" s="3">
        <v>4.2</v>
      </c>
    </row>
    <row r="20" spans="1:17" ht="18.75">
      <c r="A20" s="34" t="s">
        <v>102</v>
      </c>
      <c r="B20" s="34"/>
      <c r="C20" s="35" t="s">
        <v>87</v>
      </c>
      <c r="D20" s="35">
        <v>19</v>
      </c>
      <c r="E20" s="35" t="s">
        <v>144</v>
      </c>
      <c r="F20" s="34"/>
      <c r="G20" s="34"/>
      <c r="H20" s="34"/>
      <c r="I20" s="34"/>
      <c r="J20" s="34"/>
      <c r="K20" s="34"/>
      <c r="L20" s="3"/>
      <c r="M20" s="3" t="s">
        <v>21</v>
      </c>
      <c r="N20" s="3" t="s">
        <v>22</v>
      </c>
      <c r="O20" s="3">
        <v>1000</v>
      </c>
      <c r="P20" s="3">
        <v>0.27</v>
      </c>
      <c r="Q20" s="3">
        <v>4</v>
      </c>
    </row>
    <row r="21" spans="1:17" ht="18.75">
      <c r="A21" s="34" t="s">
        <v>101</v>
      </c>
      <c r="B21" s="34"/>
      <c r="C21" s="35"/>
      <c r="D21" s="35">
        <v>7</v>
      </c>
      <c r="E21" s="35" t="s">
        <v>144</v>
      </c>
      <c r="F21" s="34"/>
      <c r="G21" s="34"/>
      <c r="H21" s="35"/>
      <c r="I21" s="35"/>
      <c r="J21" s="34"/>
      <c r="K21" s="34"/>
      <c r="L21" s="3"/>
      <c r="M21" s="3"/>
      <c r="N21" s="3" t="s">
        <v>23</v>
      </c>
      <c r="O21" s="3">
        <v>800</v>
      </c>
      <c r="P21" s="3">
        <v>6.8000000000000005E-2</v>
      </c>
      <c r="Q21" s="3">
        <v>4.0999999999999996</v>
      </c>
    </row>
    <row r="22" spans="1:17" ht="18.75">
      <c r="A22" s="34" t="s">
        <v>159</v>
      </c>
      <c r="B22" s="34"/>
      <c r="C22" s="35" t="s">
        <v>87</v>
      </c>
      <c r="D22" s="35">
        <v>26</v>
      </c>
      <c r="E22" s="35" t="s">
        <v>144</v>
      </c>
      <c r="F22" s="34"/>
      <c r="G22" s="34"/>
      <c r="H22" s="34"/>
      <c r="I22" s="34"/>
      <c r="J22" s="34"/>
      <c r="K22" s="34"/>
      <c r="L22" s="3"/>
      <c r="M22" s="3"/>
      <c r="N22" s="3" t="s">
        <v>24</v>
      </c>
      <c r="O22" s="3">
        <v>800</v>
      </c>
      <c r="P22" s="3">
        <v>3.5000000000000003E-2</v>
      </c>
      <c r="Q22" s="3">
        <v>4.2</v>
      </c>
    </row>
    <row r="23" spans="1:17" ht="18.75">
      <c r="A23" s="34" t="s">
        <v>100</v>
      </c>
      <c r="B23" s="34"/>
      <c r="C23" s="35"/>
      <c r="D23" s="35">
        <v>4.5999999999999999E-2</v>
      </c>
      <c r="E23" s="35" t="s">
        <v>146</v>
      </c>
      <c r="F23" s="34"/>
      <c r="G23" s="34"/>
      <c r="H23" s="34"/>
      <c r="I23" s="35"/>
      <c r="J23" s="34"/>
      <c r="K23" s="34"/>
      <c r="L23" s="3" t="s">
        <v>25</v>
      </c>
      <c r="M23" s="3" t="s">
        <v>7</v>
      </c>
      <c r="N23" s="3" t="s">
        <v>17</v>
      </c>
      <c r="O23" s="3">
        <v>500</v>
      </c>
      <c r="P23" s="3">
        <v>7.0999999999999994E-2</v>
      </c>
      <c r="Q23" s="3">
        <v>4.2</v>
      </c>
    </row>
    <row r="24" spans="1:17" ht="18.75">
      <c r="A24" s="34" t="s">
        <v>91</v>
      </c>
      <c r="B24" s="34"/>
      <c r="C24" s="35" t="s">
        <v>83</v>
      </c>
      <c r="D24" s="35">
        <v>9.81</v>
      </c>
      <c r="E24" s="35" t="s">
        <v>150</v>
      </c>
      <c r="F24" s="35"/>
      <c r="G24" s="34"/>
      <c r="H24" s="34"/>
      <c r="I24" s="34"/>
      <c r="J24" s="34"/>
      <c r="K24" s="34"/>
      <c r="L24" s="3"/>
      <c r="M24" s="3" t="s">
        <v>26</v>
      </c>
      <c r="N24" s="3" t="s">
        <v>29</v>
      </c>
      <c r="O24" s="3">
        <v>500</v>
      </c>
      <c r="P24" s="3">
        <v>5.1999999999999998E-2</v>
      </c>
      <c r="Q24" s="3">
        <v>4</v>
      </c>
    </row>
    <row r="25" spans="1:17" ht="23.25">
      <c r="A25" s="34" t="s">
        <v>99</v>
      </c>
      <c r="B25" s="34"/>
      <c r="C25" s="35" t="s">
        <v>180</v>
      </c>
      <c r="D25" s="35">
        <v>9.8059999999999992</v>
      </c>
      <c r="E25" s="35" t="s">
        <v>189</v>
      </c>
      <c r="F25" s="34"/>
      <c r="G25" s="34"/>
      <c r="H25" s="34"/>
      <c r="I25" s="34"/>
      <c r="J25" s="34"/>
      <c r="K25" s="34"/>
      <c r="L25" s="3"/>
      <c r="M25" s="3" t="s">
        <v>27</v>
      </c>
      <c r="N25" s="3" t="s">
        <v>30</v>
      </c>
      <c r="O25" s="3">
        <v>500</v>
      </c>
      <c r="P25" s="3">
        <v>8.5999999999999993E-2</v>
      </c>
      <c r="Q25" s="3">
        <v>4</v>
      </c>
    </row>
    <row r="26" spans="1:17" ht="23.25">
      <c r="A26" s="34" t="s">
        <v>109</v>
      </c>
      <c r="B26" s="34"/>
      <c r="C26" s="35"/>
      <c r="D26" s="35">
        <v>12.69</v>
      </c>
      <c r="E26" s="35" t="s">
        <v>145</v>
      </c>
      <c r="F26" s="35">
        <f>(D26+1.013)</f>
        <v>13.702999999999999</v>
      </c>
      <c r="G26" s="34" t="s">
        <v>153</v>
      </c>
      <c r="H26" s="34">
        <f>ROUND(F26*10^5/D17,2)</f>
        <v>2807.99</v>
      </c>
      <c r="I26" s="35" t="s">
        <v>190</v>
      </c>
      <c r="J26" s="34">
        <f>D26*D29</f>
        <v>1269000</v>
      </c>
      <c r="K26" s="34" t="s">
        <v>191</v>
      </c>
      <c r="L26" s="3"/>
      <c r="M26" s="3" t="s">
        <v>28</v>
      </c>
      <c r="N26" s="3" t="s">
        <v>31</v>
      </c>
      <c r="O26" s="3">
        <v>500</v>
      </c>
      <c r="P26" s="3">
        <v>5.1999999999999998E-2</v>
      </c>
      <c r="Q26" s="3">
        <v>4</v>
      </c>
    </row>
    <row r="27" spans="1:17" ht="18.75">
      <c r="A27" s="34" t="s">
        <v>115</v>
      </c>
      <c r="B27" s="34"/>
      <c r="C27" s="35" t="s">
        <v>114</v>
      </c>
      <c r="D27" s="35">
        <v>68</v>
      </c>
      <c r="E27" s="35" t="s">
        <v>152</v>
      </c>
      <c r="F27" s="34"/>
      <c r="G27" s="34"/>
      <c r="H27" s="34"/>
      <c r="I27" s="34"/>
      <c r="J27" s="34"/>
      <c r="K27" s="34"/>
      <c r="L27" s="3" t="s">
        <v>32</v>
      </c>
      <c r="M27" s="3" t="s">
        <v>33</v>
      </c>
      <c r="N27" s="3"/>
      <c r="O27" s="3"/>
      <c r="P27" s="3"/>
      <c r="Q27" s="3"/>
    </row>
    <row r="28" spans="1:17" ht="18.75">
      <c r="A28" s="34" t="s">
        <v>157</v>
      </c>
      <c r="B28" s="34"/>
      <c r="C28" s="34"/>
      <c r="D28" s="35">
        <v>14.17</v>
      </c>
      <c r="E28" s="35" t="s">
        <v>153</v>
      </c>
      <c r="F28" s="34"/>
      <c r="G28" s="34"/>
      <c r="H28" s="34"/>
      <c r="I28" s="34"/>
      <c r="J28" s="34"/>
      <c r="K28" s="34"/>
      <c r="L28" s="3"/>
      <c r="M28" s="3" t="s">
        <v>34</v>
      </c>
      <c r="N28" s="3" t="s">
        <v>17</v>
      </c>
      <c r="O28" s="3">
        <v>1000</v>
      </c>
      <c r="P28" s="3">
        <v>0.23</v>
      </c>
      <c r="Q28" s="3">
        <v>4</v>
      </c>
    </row>
    <row r="29" spans="1:17" ht="22.5">
      <c r="A29" s="34" t="s">
        <v>161</v>
      </c>
      <c r="B29" s="34"/>
      <c r="C29" s="34"/>
      <c r="D29" s="34">
        <f>10^5</f>
        <v>100000</v>
      </c>
      <c r="E29" s="35" t="s">
        <v>191</v>
      </c>
      <c r="F29" s="34"/>
      <c r="G29" s="34"/>
      <c r="H29" s="34"/>
      <c r="I29" s="34"/>
      <c r="J29" s="34"/>
      <c r="K29" s="34"/>
      <c r="L29" s="3" t="s">
        <v>35</v>
      </c>
      <c r="M29" s="3" t="s">
        <v>36</v>
      </c>
      <c r="N29" s="3" t="s">
        <v>17</v>
      </c>
      <c r="O29" s="3">
        <v>1000</v>
      </c>
      <c r="P29" s="3">
        <v>0.12</v>
      </c>
      <c r="Q29" s="3">
        <v>4</v>
      </c>
    </row>
    <row r="30" spans="1:17" ht="18.7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"/>
      <c r="M30" s="3" t="s">
        <v>37</v>
      </c>
      <c r="N30" s="3" t="s">
        <v>29</v>
      </c>
      <c r="O30" s="3">
        <v>1000</v>
      </c>
      <c r="P30" s="3">
        <v>0.1</v>
      </c>
      <c r="Q30" s="3">
        <v>4</v>
      </c>
    </row>
    <row r="31" spans="1:17" ht="18.75">
      <c r="A31" s="6"/>
      <c r="B31" s="6"/>
      <c r="C31" s="17"/>
      <c r="D31" s="17"/>
      <c r="E31" s="17"/>
      <c r="F31" s="17"/>
      <c r="G31" s="6"/>
      <c r="H31" s="6"/>
      <c r="I31" s="6"/>
      <c r="J31" s="6"/>
      <c r="K31" s="6"/>
      <c r="L31" s="3" t="s">
        <v>38</v>
      </c>
      <c r="M31" s="3" t="s">
        <v>39</v>
      </c>
      <c r="N31" s="3"/>
      <c r="O31" s="3"/>
      <c r="P31" s="3"/>
      <c r="Q31" s="3"/>
    </row>
    <row r="32" spans="1:17" ht="18.75">
      <c r="A32" s="18" t="s">
        <v>62</v>
      </c>
      <c r="B32" s="6"/>
      <c r="C32" s="17"/>
      <c r="D32" s="17"/>
      <c r="E32" s="17"/>
      <c r="F32" s="17"/>
      <c r="G32" s="6"/>
      <c r="H32" s="6"/>
      <c r="I32" s="6"/>
      <c r="J32" s="6"/>
      <c r="K32" s="6"/>
      <c r="L32" s="3"/>
      <c r="M32" s="3" t="s">
        <v>40</v>
      </c>
      <c r="N32" s="3"/>
      <c r="O32" s="3"/>
      <c r="P32" s="3"/>
      <c r="Q32" s="3"/>
    </row>
    <row r="33" spans="1:17" ht="18.75">
      <c r="A33" s="6"/>
      <c r="B33" s="6"/>
      <c r="C33" s="17"/>
      <c r="D33" s="17"/>
      <c r="E33" s="17"/>
      <c r="F33" s="17"/>
      <c r="G33" s="6"/>
      <c r="H33" s="6"/>
      <c r="I33" s="6"/>
      <c r="J33" s="6"/>
      <c r="K33" s="6"/>
      <c r="L33" s="3"/>
      <c r="M33" s="3" t="s">
        <v>41</v>
      </c>
      <c r="N33" s="3" t="s">
        <v>17</v>
      </c>
      <c r="O33" s="3">
        <v>500</v>
      </c>
      <c r="P33" s="3">
        <v>0.27400000000000002</v>
      </c>
      <c r="Q33" s="3">
        <v>4</v>
      </c>
    </row>
    <row r="34" spans="1:17" ht="22.5">
      <c r="A34" s="6" t="s">
        <v>111</v>
      </c>
      <c r="B34" s="6"/>
      <c r="C34" s="17"/>
      <c r="D34" s="17">
        <f>ROUND(PI()*(D12/1000)^2/4,4)</f>
        <v>3.2399999999999998E-2</v>
      </c>
      <c r="E34" s="17" t="s">
        <v>181</v>
      </c>
      <c r="F34" s="17"/>
      <c r="G34" s="17"/>
      <c r="H34" s="6"/>
      <c r="I34" s="6"/>
      <c r="J34" s="6"/>
      <c r="K34" s="6"/>
      <c r="L34" s="3"/>
      <c r="M34" s="3"/>
      <c r="N34" s="3" t="s">
        <v>29</v>
      </c>
      <c r="O34" s="3">
        <v>800</v>
      </c>
      <c r="P34" s="3">
        <v>0.14000000000000001</v>
      </c>
      <c r="Q34" s="3">
        <v>4</v>
      </c>
    </row>
    <row r="35" spans="1:17" ht="18.75">
      <c r="A35" s="6" t="s">
        <v>110</v>
      </c>
      <c r="B35" s="6"/>
      <c r="C35" s="17"/>
      <c r="D35" s="17">
        <f>ROUND(D14/(D34*3600),2)</f>
        <v>1.05</v>
      </c>
      <c r="E35" s="17" t="s">
        <v>155</v>
      </c>
      <c r="F35" s="17"/>
      <c r="G35" s="6"/>
      <c r="H35" s="6"/>
      <c r="I35" s="6"/>
      <c r="J35" s="6"/>
      <c r="K35" s="6"/>
      <c r="L35" s="3"/>
      <c r="M35" s="3" t="s">
        <v>36</v>
      </c>
      <c r="N35" s="3" t="s">
        <v>17</v>
      </c>
      <c r="O35" s="3">
        <v>800</v>
      </c>
      <c r="P35" s="3">
        <v>0.28000000000000003</v>
      </c>
      <c r="Q35" s="3">
        <v>4</v>
      </c>
    </row>
    <row r="36" spans="1:17" ht="23.25">
      <c r="A36" s="6" t="s">
        <v>182</v>
      </c>
      <c r="B36" s="6"/>
      <c r="C36" s="17"/>
      <c r="D36" s="17">
        <f>ROUND(-(D35^2/(2*D25)),3)</f>
        <v>-5.6000000000000001E-2</v>
      </c>
      <c r="E36" s="16" t="s">
        <v>190</v>
      </c>
      <c r="F36" s="17">
        <f>ROUND(D36*D17,4)</f>
        <v>-27.327999999999999</v>
      </c>
      <c r="G36" s="6" t="s">
        <v>191</v>
      </c>
      <c r="H36" s="6"/>
      <c r="I36" s="6"/>
      <c r="J36" s="6"/>
      <c r="K36" s="6"/>
      <c r="L36" s="3"/>
      <c r="M36" s="3" t="s">
        <v>42</v>
      </c>
      <c r="N36" s="3"/>
      <c r="O36" s="3">
        <v>1000</v>
      </c>
      <c r="P36" s="3">
        <v>0.34</v>
      </c>
      <c r="Q36" s="3">
        <v>4</v>
      </c>
    </row>
    <row r="37" spans="1:17" ht="18.75">
      <c r="A37" s="6" t="s">
        <v>88</v>
      </c>
      <c r="B37" s="6"/>
      <c r="C37" s="17"/>
      <c r="D37" s="17">
        <f>ROUND(D22*1000/D11,3)</f>
        <v>128.268</v>
      </c>
      <c r="E37" s="17"/>
      <c r="F37" s="17"/>
      <c r="G37" s="6"/>
      <c r="H37" s="6"/>
      <c r="I37" s="6"/>
      <c r="J37" s="6"/>
      <c r="K37" s="6"/>
      <c r="L37" s="3"/>
      <c r="M37" s="3" t="s">
        <v>43</v>
      </c>
      <c r="N37" s="3" t="s">
        <v>17</v>
      </c>
      <c r="O37" s="3">
        <v>200</v>
      </c>
      <c r="P37" s="3">
        <v>9.0999999999999998E-2</v>
      </c>
      <c r="Q37" s="3">
        <v>4</v>
      </c>
    </row>
    <row r="38" spans="1:17" ht="18.75">
      <c r="A38" s="6" t="s">
        <v>64</v>
      </c>
      <c r="B38" s="6"/>
      <c r="C38" s="17"/>
      <c r="D38" s="17">
        <f>ROUND((354*D18)/(D11*D19),0)</f>
        <v>932153</v>
      </c>
      <c r="E38" s="17"/>
      <c r="F38" s="17"/>
      <c r="G38" s="6"/>
      <c r="H38" s="6"/>
      <c r="I38" s="6"/>
      <c r="J38" s="6"/>
      <c r="K38" s="6"/>
      <c r="L38" s="3"/>
      <c r="M38" s="3" t="s">
        <v>36</v>
      </c>
      <c r="N38" s="3" t="s">
        <v>17</v>
      </c>
      <c r="O38" s="3">
        <v>150</v>
      </c>
      <c r="P38" s="3">
        <v>1.7000000000000001E-2</v>
      </c>
      <c r="Q38" s="3">
        <v>4</v>
      </c>
    </row>
    <row r="39" spans="1:17" ht="18.75">
      <c r="A39" s="6" t="s">
        <v>65</v>
      </c>
      <c r="B39" s="6"/>
      <c r="C39" s="17"/>
      <c r="D39" s="17" t="str">
        <f>IF(D38&gt;=4000,"TURBULENT FLOW","LAMINAR FLOW")</f>
        <v>TURBULENT FLOW</v>
      </c>
      <c r="E39" s="17"/>
      <c r="F39" s="17"/>
      <c r="G39" s="6"/>
      <c r="H39" s="6"/>
      <c r="I39" s="6"/>
      <c r="J39" s="6"/>
      <c r="K39" s="6"/>
      <c r="L39" s="3"/>
      <c r="M39" s="3" t="s">
        <v>42</v>
      </c>
      <c r="N39" s="3"/>
      <c r="O39" s="3">
        <v>100</v>
      </c>
      <c r="P39" s="3">
        <v>0</v>
      </c>
      <c r="Q39" s="3">
        <v>0</v>
      </c>
    </row>
    <row r="40" spans="1:17" ht="18.75">
      <c r="A40" s="6"/>
      <c r="B40" s="6"/>
      <c r="C40" s="17"/>
      <c r="D40" s="17"/>
      <c r="E40" s="17"/>
      <c r="F40" s="17"/>
      <c r="G40" s="6"/>
      <c r="H40" s="6"/>
      <c r="I40" s="6"/>
      <c r="J40" s="6"/>
      <c r="K40" s="6"/>
      <c r="L40" s="3" t="s">
        <v>44</v>
      </c>
      <c r="M40" s="3" t="s">
        <v>45</v>
      </c>
      <c r="N40" s="3" t="s">
        <v>46</v>
      </c>
      <c r="O40" s="3">
        <v>950</v>
      </c>
      <c r="P40" s="3">
        <v>0.25</v>
      </c>
      <c r="Q40" s="3">
        <v>4</v>
      </c>
    </row>
    <row r="41" spans="1:17" ht="18.75">
      <c r="A41" s="6" t="s">
        <v>81</v>
      </c>
      <c r="B41" s="6"/>
      <c r="C41" s="17"/>
      <c r="D41" s="17"/>
      <c r="E41" s="17"/>
      <c r="F41" s="17"/>
      <c r="G41" s="6"/>
      <c r="H41" s="6"/>
      <c r="I41" s="6"/>
      <c r="J41" s="6"/>
      <c r="K41" s="6"/>
      <c r="L41" s="3"/>
      <c r="M41" s="3" t="s">
        <v>47</v>
      </c>
      <c r="N41" s="3" t="s">
        <v>46</v>
      </c>
      <c r="O41" s="3">
        <v>1000</v>
      </c>
      <c r="P41" s="3">
        <v>0.69</v>
      </c>
      <c r="Q41" s="3">
        <v>4</v>
      </c>
    </row>
    <row r="42" spans="1:17" ht="18.75">
      <c r="A42" s="6" t="s">
        <v>80</v>
      </c>
      <c r="B42" s="6"/>
      <c r="C42" s="17"/>
      <c r="D42" s="17"/>
      <c r="E42" s="17"/>
      <c r="F42" s="17"/>
      <c r="G42" s="6"/>
      <c r="H42" s="6"/>
      <c r="I42" s="6"/>
      <c r="J42" s="6"/>
      <c r="K42" s="6"/>
      <c r="L42" s="3"/>
      <c r="M42" s="3" t="s">
        <v>48</v>
      </c>
      <c r="N42" s="3" t="s">
        <v>50</v>
      </c>
      <c r="O42" s="3">
        <v>1500</v>
      </c>
      <c r="P42" s="3">
        <v>1.7</v>
      </c>
      <c r="Q42" s="3">
        <v>3.6</v>
      </c>
    </row>
    <row r="43" spans="1:17" ht="18.75">
      <c r="A43" s="6"/>
      <c r="B43" s="6"/>
      <c r="C43" s="17"/>
      <c r="D43" s="17" t="s">
        <v>192</v>
      </c>
      <c r="E43" s="17"/>
      <c r="F43" s="17"/>
      <c r="G43" s="6"/>
      <c r="H43" s="6"/>
      <c r="I43" s="6"/>
      <c r="J43" s="6"/>
      <c r="K43" s="6"/>
      <c r="L43" s="3"/>
      <c r="M43" s="3" t="s">
        <v>49</v>
      </c>
      <c r="N43" s="3" t="s">
        <v>51</v>
      </c>
      <c r="O43" s="3">
        <v>500</v>
      </c>
      <c r="P43" s="3">
        <v>0.41</v>
      </c>
      <c r="Q43" s="3">
        <v>4</v>
      </c>
    </row>
    <row r="44" spans="1:17" ht="18.75">
      <c r="A44" s="6"/>
      <c r="B44" s="6"/>
      <c r="C44" s="17"/>
      <c r="D44" s="16"/>
      <c r="E44" s="17"/>
      <c r="F44" s="6"/>
      <c r="G44" s="6"/>
      <c r="H44" s="6"/>
      <c r="I44" s="6"/>
      <c r="J44" s="6"/>
      <c r="K44" s="6"/>
      <c r="L44" s="3"/>
      <c r="M44" s="3" t="s">
        <v>49</v>
      </c>
      <c r="N44" s="3" t="s">
        <v>52</v>
      </c>
      <c r="O44" s="3">
        <v>300</v>
      </c>
      <c r="P44" s="3">
        <v>8.4000000000000005E-2</v>
      </c>
      <c r="Q44" s="3">
        <v>3.9</v>
      </c>
    </row>
    <row r="45" spans="1:17" ht="20.25">
      <c r="A45" s="18" t="s">
        <v>183</v>
      </c>
      <c r="B45" s="6"/>
      <c r="C45" s="17"/>
      <c r="D45" s="17"/>
      <c r="E45" s="17"/>
      <c r="F45" s="6"/>
      <c r="G45" s="6"/>
      <c r="H45" s="6"/>
      <c r="I45" s="6"/>
      <c r="J45" s="6"/>
      <c r="K45" s="6"/>
      <c r="L45" s="3"/>
      <c r="M45" s="3" t="s">
        <v>49</v>
      </c>
      <c r="N45" s="3" t="s">
        <v>53</v>
      </c>
      <c r="O45" s="3">
        <v>300</v>
      </c>
      <c r="P45" s="3">
        <v>0.14000000000000001</v>
      </c>
      <c r="Q45" s="3">
        <v>4</v>
      </c>
    </row>
    <row r="46" spans="1:17" ht="18.75">
      <c r="A46" s="6" t="s">
        <v>168</v>
      </c>
      <c r="B46" s="6"/>
      <c r="C46" s="17"/>
      <c r="D46" s="17">
        <f>$D$23/$D$11</f>
        <v>2.2693635915145536E-4</v>
      </c>
      <c r="E46" s="17"/>
      <c r="F46" s="6"/>
      <c r="G46" s="6"/>
      <c r="H46" s="6"/>
      <c r="I46" s="6"/>
      <c r="J46" s="6"/>
      <c r="K46" s="6"/>
      <c r="L46" s="3"/>
      <c r="M46" s="3"/>
      <c r="N46" s="3"/>
      <c r="O46" s="3"/>
      <c r="P46" s="3"/>
      <c r="Q46" s="3"/>
    </row>
    <row r="47" spans="1:17" ht="18.75">
      <c r="A47" s="6" t="s">
        <v>0</v>
      </c>
      <c r="B47" s="6"/>
      <c r="C47" s="17"/>
      <c r="D47" s="17">
        <f>ROUND(D46/(3.7),5)</f>
        <v>6.0000000000000002E-5</v>
      </c>
      <c r="E47" s="17"/>
      <c r="F47" s="6"/>
      <c r="G47" s="6"/>
      <c r="H47" s="6"/>
      <c r="I47" s="6"/>
      <c r="J47" s="6"/>
      <c r="K47" s="6"/>
      <c r="L47" s="3"/>
      <c r="M47" s="3" t="s">
        <v>54</v>
      </c>
      <c r="N47" s="3" t="s">
        <v>50</v>
      </c>
      <c r="O47" s="3">
        <v>300</v>
      </c>
      <c r="P47" s="3">
        <v>3.6999999999999998E-2</v>
      </c>
      <c r="Q47" s="3">
        <v>3.9</v>
      </c>
    </row>
    <row r="48" spans="1:17" ht="18.75">
      <c r="A48" s="6" t="s">
        <v>67</v>
      </c>
      <c r="B48" s="6"/>
      <c r="C48" s="17"/>
      <c r="D48" s="17">
        <f>ROUND((6.7/D38)^0.9,5)</f>
        <v>2.0000000000000002E-5</v>
      </c>
      <c r="E48" s="17"/>
      <c r="F48" s="6" t="s">
        <v>94</v>
      </c>
      <c r="G48" s="6">
        <f>ROUND((2.457*LN(1/((7/D38)^0.9+(0.27*(D46)))))^16,3)</f>
        <v>6.1697440179176803E+21</v>
      </c>
      <c r="H48" s="6" t="s">
        <v>95</v>
      </c>
      <c r="I48" s="6">
        <f>(37530/D38)^16</f>
        <v>4.7671827900783769E-23</v>
      </c>
      <c r="J48" s="6"/>
      <c r="K48" s="6"/>
      <c r="L48" s="3"/>
      <c r="M48" s="3" t="s">
        <v>55</v>
      </c>
      <c r="N48" s="3" t="s">
        <v>50</v>
      </c>
      <c r="O48" s="3">
        <v>300</v>
      </c>
      <c r="P48" s="3">
        <v>1.7000000000000001E-2</v>
      </c>
      <c r="Q48" s="3">
        <v>4</v>
      </c>
    </row>
    <row r="49" spans="1:29" ht="18.75">
      <c r="A49" s="6" t="s">
        <v>68</v>
      </c>
      <c r="B49" s="6"/>
      <c r="C49" s="17"/>
      <c r="D49" s="17">
        <f>ROUND(SUM(D47:D48),5)</f>
        <v>8.0000000000000007E-5</v>
      </c>
      <c r="E49" s="17"/>
      <c r="F49" s="6"/>
      <c r="G49" s="6"/>
      <c r="H49" s="6"/>
      <c r="I49" s="6"/>
      <c r="J49" s="6"/>
      <c r="K49" s="6"/>
      <c r="L49" s="3"/>
      <c r="M49" s="3" t="s">
        <v>56</v>
      </c>
      <c r="N49" s="3" t="s">
        <v>57</v>
      </c>
      <c r="O49" s="3">
        <v>1000</v>
      </c>
      <c r="P49" s="3">
        <v>0.69</v>
      </c>
      <c r="Q49" s="3">
        <v>4.9000000000000004</v>
      </c>
    </row>
    <row r="50" spans="1:29" ht="18.75">
      <c r="A50" s="6" t="s">
        <v>69</v>
      </c>
      <c r="B50" s="6"/>
      <c r="C50" s="17"/>
      <c r="D50" s="17">
        <f>-4*LOG(D47-(5.02*LOG(D49)/D38))</f>
        <v>16.343401434611145</v>
      </c>
      <c r="E50" s="17"/>
      <c r="F50" s="6" t="s">
        <v>96</v>
      </c>
      <c r="G50" s="6"/>
      <c r="H50" s="6"/>
      <c r="I50" s="6">
        <f>ROUND(8*((8/D38)^12+(1/(G48+I48)^1.5))^(1/12),4)</f>
        <v>1.5100000000000001E-2</v>
      </c>
      <c r="J50" s="6"/>
      <c r="K50" s="6"/>
      <c r="L50" s="3"/>
      <c r="M50" s="3" t="s">
        <v>58</v>
      </c>
      <c r="N50" s="3"/>
      <c r="O50" s="3">
        <v>1500</v>
      </c>
      <c r="P50" s="3">
        <v>0.46</v>
      </c>
      <c r="Q50" s="3">
        <v>4</v>
      </c>
    </row>
    <row r="51" spans="1:29" ht="20.25">
      <c r="A51" s="6" t="s">
        <v>66</v>
      </c>
      <c r="B51" s="6"/>
      <c r="C51" s="17"/>
      <c r="D51" s="17">
        <f>ROUND(1/(D50)^2,4)</f>
        <v>3.7000000000000002E-3</v>
      </c>
      <c r="E51" s="17"/>
      <c r="F51" s="6" t="s">
        <v>184</v>
      </c>
      <c r="G51" s="6"/>
      <c r="H51" s="6"/>
      <c r="I51" s="6">
        <f>I50/4</f>
        <v>3.7750000000000001E-3</v>
      </c>
      <c r="J51" s="6"/>
      <c r="K51" s="6"/>
      <c r="L51" s="3"/>
      <c r="M51" s="3" t="s">
        <v>59</v>
      </c>
      <c r="N51" s="3"/>
      <c r="O51" s="3">
        <v>2000</v>
      </c>
      <c r="P51" s="3">
        <v>2.85</v>
      </c>
      <c r="Q51" s="3">
        <v>3.8</v>
      </c>
    </row>
    <row r="52" spans="1:29" ht="20.25">
      <c r="A52" s="6" t="s">
        <v>185</v>
      </c>
      <c r="B52" s="6"/>
      <c r="C52" s="17"/>
      <c r="D52" s="17">
        <f>4*D51</f>
        <v>1.4800000000000001E-2</v>
      </c>
      <c r="E52" s="17"/>
      <c r="F52" s="17"/>
      <c r="G52" s="6"/>
      <c r="H52" s="6"/>
      <c r="I52" s="6"/>
      <c r="J52" s="6"/>
      <c r="K52" s="6"/>
    </row>
    <row r="53" spans="1:29" ht="18.75">
      <c r="A53" s="6"/>
      <c r="B53" s="6"/>
      <c r="C53" s="17"/>
      <c r="D53" s="17"/>
      <c r="E53" s="17"/>
      <c r="F53" s="17"/>
      <c r="G53" s="6"/>
      <c r="H53" s="6"/>
      <c r="I53" s="6"/>
      <c r="J53" s="6"/>
      <c r="K53" s="6"/>
    </row>
    <row r="54" spans="1:29" ht="18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29" ht="18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29" ht="18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29" ht="23.25">
      <c r="A57" s="18" t="s">
        <v>106</v>
      </c>
      <c r="B57" s="6"/>
      <c r="C57" s="17"/>
      <c r="D57" s="6">
        <f>D21</f>
        <v>7</v>
      </c>
      <c r="E57" s="16" t="s">
        <v>190</v>
      </c>
      <c r="F57" s="17">
        <f>ROUND(D57*D17,3)</f>
        <v>3416</v>
      </c>
      <c r="G57" s="6" t="s">
        <v>191</v>
      </c>
      <c r="H57" s="6"/>
      <c r="I57" s="6"/>
      <c r="J57" s="6"/>
      <c r="K57" s="6"/>
    </row>
    <row r="58" spans="1:29" ht="18.75">
      <c r="A58" s="6"/>
      <c r="B58" s="6"/>
      <c r="C58" s="6"/>
      <c r="D58" s="6"/>
      <c r="E58" s="17"/>
      <c r="F58" s="6"/>
      <c r="G58" s="6"/>
      <c r="H58" s="6"/>
      <c r="I58" s="6"/>
      <c r="J58" s="6"/>
      <c r="K58" s="6"/>
      <c r="V58" s="1"/>
      <c r="X58" t="s">
        <v>79</v>
      </c>
    </row>
    <row r="59" spans="1:29" ht="18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V59" s="4" t="s">
        <v>70</v>
      </c>
      <c r="W59" s="4" t="s">
        <v>71</v>
      </c>
      <c r="X59" s="4" t="s">
        <v>72</v>
      </c>
      <c r="Y59" s="4" t="s">
        <v>73</v>
      </c>
      <c r="Z59" s="4" t="s">
        <v>74</v>
      </c>
      <c r="AA59" s="4" t="s">
        <v>75</v>
      </c>
      <c r="AB59" s="4" t="s">
        <v>76</v>
      </c>
      <c r="AC59" s="4" t="s">
        <v>77</v>
      </c>
    </row>
    <row r="60" spans="1:29" ht="18.75">
      <c r="A60" s="6"/>
      <c r="B60" s="6"/>
      <c r="C60" s="17"/>
      <c r="D60" s="17"/>
      <c r="E60" s="17"/>
      <c r="F60" s="17"/>
      <c r="G60" s="6"/>
      <c r="H60" s="6"/>
      <c r="I60" s="6"/>
      <c r="J60" s="6"/>
      <c r="K60" s="6"/>
      <c r="N60" t="s">
        <v>79</v>
      </c>
      <c r="V60" s="4" t="s">
        <v>54</v>
      </c>
      <c r="W60" s="4">
        <v>2</v>
      </c>
      <c r="X60" s="4">
        <f>O47</f>
        <v>300</v>
      </c>
      <c r="Y60" s="4">
        <f>W60*X60</f>
        <v>600</v>
      </c>
      <c r="Z60" s="4">
        <f>P47</f>
        <v>3.6999999999999998E-2</v>
      </c>
      <c r="AA60" s="4">
        <f>W60*Z60</f>
        <v>7.3999999999999996E-2</v>
      </c>
      <c r="AB60" s="4">
        <f>Q47</f>
        <v>3.9</v>
      </c>
      <c r="AC60" s="4" t="e">
        <f>ROUND((Y60/$D$38)+AA60*(1+AB60/#REF!^0.3),3)</f>
        <v>#REF!</v>
      </c>
    </row>
    <row r="61" spans="1:29" ht="18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3" t="s">
        <v>70</v>
      </c>
      <c r="M61" s="3" t="s">
        <v>71</v>
      </c>
      <c r="N61" s="3" t="s">
        <v>72</v>
      </c>
      <c r="O61" s="3" t="s">
        <v>73</v>
      </c>
      <c r="P61" s="3" t="s">
        <v>74</v>
      </c>
      <c r="Q61" s="3" t="s">
        <v>75</v>
      </c>
      <c r="R61" s="3" t="s">
        <v>76</v>
      </c>
      <c r="S61" s="3" t="s">
        <v>77</v>
      </c>
      <c r="V61" s="4" t="s">
        <v>113</v>
      </c>
      <c r="W61" s="4">
        <v>3</v>
      </c>
      <c r="X61" s="4">
        <f>O15</f>
        <v>800</v>
      </c>
      <c r="Y61" s="4">
        <f>W61*X61</f>
        <v>2400</v>
      </c>
      <c r="Z61" s="4">
        <f>P15</f>
        <v>7.0999999999999994E-2</v>
      </c>
      <c r="AA61" s="4">
        <f>W61*Z61</f>
        <v>0.21299999999999997</v>
      </c>
      <c r="AB61" s="4">
        <f>Q15</f>
        <v>4.2</v>
      </c>
      <c r="AC61" s="4" t="e">
        <f>ROUND((Y61/$D$38)+AA61*(1+AB61/#REF!^0.3),3)</f>
        <v>#REF!</v>
      </c>
    </row>
    <row r="62" spans="1:29" ht="18.75">
      <c r="A62" s="18" t="s">
        <v>123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3" t="s">
        <v>127</v>
      </c>
      <c r="M62" s="3">
        <v>10</v>
      </c>
      <c r="N62" s="3">
        <v>800</v>
      </c>
      <c r="O62" s="3">
        <f>M62*N62</f>
        <v>8000</v>
      </c>
      <c r="P62" s="3">
        <v>7.0999999999999994E-2</v>
      </c>
      <c r="Q62" s="3">
        <f>M62*P62</f>
        <v>0.71</v>
      </c>
      <c r="R62" s="3">
        <v>4.2</v>
      </c>
      <c r="S62" s="3">
        <f>ROUND((O62/$D$38)+Q62*(1+(R62*(25.4/$D$12)^0.3)),3)</f>
        <v>2.3170000000000002</v>
      </c>
      <c r="V62" s="4" t="s">
        <v>93</v>
      </c>
      <c r="W62" s="5"/>
      <c r="X62" s="5"/>
      <c r="Y62" s="5"/>
      <c r="Z62" s="5"/>
      <c r="AA62" s="5"/>
      <c r="AB62" s="5"/>
      <c r="AC62" s="4"/>
    </row>
    <row r="63" spans="1:29" ht="18.75">
      <c r="A63" s="6"/>
      <c r="B63" s="6"/>
      <c r="C63" s="6"/>
      <c r="D63" s="17"/>
      <c r="E63" s="6"/>
      <c r="F63" s="6"/>
      <c r="G63" s="6"/>
      <c r="H63" s="6"/>
      <c r="I63" s="6"/>
      <c r="J63" s="6"/>
      <c r="K63" s="6"/>
      <c r="L63" s="3" t="s">
        <v>55</v>
      </c>
      <c r="M63" s="3">
        <v>1</v>
      </c>
      <c r="N63" s="3">
        <v>300</v>
      </c>
      <c r="O63" s="3">
        <f>M63*N63</f>
        <v>300</v>
      </c>
      <c r="P63" s="3">
        <v>1.7000000000000001E-2</v>
      </c>
      <c r="Q63" s="3">
        <f>M63*P63</f>
        <v>1.7000000000000001E-2</v>
      </c>
      <c r="R63" s="3">
        <v>4</v>
      </c>
      <c r="S63" s="3">
        <f>ROUND((O63/$D$38)+Q63*(1+(R63*(25.4/D12)^0.3)),3)</f>
        <v>5.3999999999999999E-2</v>
      </c>
      <c r="V63" s="4" t="s">
        <v>112</v>
      </c>
      <c r="W63" s="5"/>
      <c r="X63" s="5"/>
      <c r="Y63" s="5"/>
      <c r="Z63" s="5"/>
      <c r="AA63" s="5"/>
      <c r="AB63" s="5"/>
      <c r="AC63" s="4">
        <f>ROUND((160/D38+0.5),3)</f>
        <v>0.5</v>
      </c>
    </row>
    <row r="64" spans="1:29" ht="18.75">
      <c r="A64" s="6" t="s">
        <v>120</v>
      </c>
      <c r="B64" s="6"/>
      <c r="C64" s="17"/>
      <c r="D64" s="17">
        <f>ROUND(D52*D37,3)</f>
        <v>1.8979999999999999</v>
      </c>
      <c r="E64" s="6"/>
      <c r="F64" s="6"/>
      <c r="G64" s="6"/>
      <c r="H64" s="6"/>
      <c r="I64" s="6"/>
      <c r="J64" s="6"/>
      <c r="K64" s="6"/>
      <c r="L64" s="3" t="s">
        <v>54</v>
      </c>
      <c r="M64" s="3">
        <v>1</v>
      </c>
      <c r="N64" s="3">
        <v>300</v>
      </c>
      <c r="O64" s="3">
        <f>M64*N64</f>
        <v>300</v>
      </c>
      <c r="P64" s="3">
        <v>3.6999999999999998E-2</v>
      </c>
      <c r="Q64" s="3">
        <f>M64*P64</f>
        <v>3.6999999999999998E-2</v>
      </c>
      <c r="R64" s="3">
        <v>3.9</v>
      </c>
      <c r="S64" s="3">
        <f>ROUND((O64/$D$38)+Q64*(1+(R64*(25.4/D12)^0.3)),3)</f>
        <v>0.115</v>
      </c>
      <c r="V64" s="4"/>
      <c r="W64" s="5"/>
      <c r="X64" s="5"/>
      <c r="Y64" s="5"/>
      <c r="Z64" s="5"/>
      <c r="AA64" s="5"/>
      <c r="AB64" s="5"/>
      <c r="AC64" s="4"/>
    </row>
    <row r="65" spans="1:29" ht="18.75">
      <c r="A65" s="6" t="s">
        <v>121</v>
      </c>
      <c r="B65" s="6"/>
      <c r="C65" s="6"/>
      <c r="D65" s="17">
        <f>S71</f>
        <v>3.8970000000000002</v>
      </c>
      <c r="E65" s="17"/>
      <c r="F65" s="6"/>
      <c r="G65" s="6"/>
      <c r="H65" s="6"/>
      <c r="I65" s="6"/>
      <c r="J65" s="6"/>
      <c r="K65" s="6"/>
      <c r="L65" s="3" t="s">
        <v>128</v>
      </c>
      <c r="M65" s="3">
        <v>1</v>
      </c>
      <c r="N65" s="3">
        <v>800</v>
      </c>
      <c r="O65" s="3">
        <f>M65*N65</f>
        <v>800</v>
      </c>
      <c r="P65" s="3">
        <v>0.14000000000000001</v>
      </c>
      <c r="Q65" s="3">
        <f>M65*P65</f>
        <v>0.14000000000000001</v>
      </c>
      <c r="R65" s="3">
        <v>4</v>
      </c>
      <c r="S65" s="3">
        <f>ROUND((O65/$D$38)+Q65*(1+(R65*(25.4/D12)^0.3)),3)</f>
        <v>0.441</v>
      </c>
      <c r="V65" s="4"/>
      <c r="W65" s="4"/>
      <c r="X65" s="4"/>
      <c r="Y65" s="4"/>
      <c r="Z65" s="4"/>
      <c r="AA65" s="4"/>
      <c r="AB65" s="4"/>
      <c r="AC65" s="4"/>
    </row>
    <row r="66" spans="1:29" ht="18.75">
      <c r="A66" s="6" t="s">
        <v>122</v>
      </c>
      <c r="B66" s="6"/>
      <c r="C66" s="17"/>
      <c r="D66" s="17">
        <f>SUM(D64:D65)</f>
        <v>5.7949999999999999</v>
      </c>
      <c r="E66" s="17"/>
      <c r="F66" s="6"/>
      <c r="G66" s="6"/>
      <c r="H66" s="6"/>
      <c r="I66" s="6"/>
      <c r="J66" s="6"/>
      <c r="K66" s="6"/>
      <c r="L66" s="3" t="s">
        <v>129</v>
      </c>
      <c r="M66" s="3" t="s">
        <v>130</v>
      </c>
      <c r="N66" s="3">
        <f>ROUND(154.1/D11,3)</f>
        <v>0.76</v>
      </c>
      <c r="O66" s="3" t="s">
        <v>131</v>
      </c>
      <c r="P66" s="3">
        <v>45</v>
      </c>
      <c r="Q66" s="3"/>
      <c r="R66" s="3"/>
      <c r="S66" s="3">
        <f>ROUND((0.6+0.48*E123)*((1-N66^2)/N66^4)*(SIN(RADIANS(P66/2)))^0.5,3)</f>
        <v>0.47</v>
      </c>
      <c r="V66" s="4" t="s">
        <v>78</v>
      </c>
      <c r="W66" s="4"/>
      <c r="X66" s="4"/>
      <c r="Y66" s="4"/>
      <c r="Z66" s="4"/>
      <c r="AA66" s="4"/>
      <c r="AB66" s="4"/>
      <c r="AC66" s="4" t="e">
        <f>SUM(AC60:AC63)</f>
        <v>#REF!</v>
      </c>
    </row>
    <row r="67" spans="1:29" ht="23.25">
      <c r="A67" s="6" t="s">
        <v>124</v>
      </c>
      <c r="B67" s="6"/>
      <c r="C67" s="17"/>
      <c r="D67" s="17">
        <f>ROUND(D66*D36,3)</f>
        <v>-0.32500000000000001</v>
      </c>
      <c r="E67" s="16" t="s">
        <v>190</v>
      </c>
      <c r="F67" s="6">
        <f>ROUND(D67*D17,3)</f>
        <v>-158.6</v>
      </c>
      <c r="G67" s="17" t="s">
        <v>191</v>
      </c>
      <c r="H67" s="6"/>
      <c r="I67" s="6"/>
      <c r="J67" s="6"/>
      <c r="K67" s="6"/>
      <c r="L67" s="3" t="s">
        <v>132</v>
      </c>
      <c r="M67" s="2"/>
      <c r="N67" s="2"/>
      <c r="O67" s="2"/>
      <c r="P67" s="2"/>
      <c r="Q67" s="2"/>
      <c r="R67" s="2"/>
      <c r="S67" s="2"/>
    </row>
    <row r="68" spans="1:29" ht="18.75">
      <c r="A68" s="6"/>
      <c r="B68" s="6"/>
      <c r="C68" s="17"/>
      <c r="D68" s="17"/>
      <c r="E68" s="17"/>
      <c r="F68" s="6"/>
      <c r="G68" s="17"/>
      <c r="H68" s="6"/>
      <c r="I68" s="6"/>
      <c r="J68" s="6"/>
      <c r="K68" s="6"/>
      <c r="L68" s="3" t="s">
        <v>133</v>
      </c>
      <c r="M68" s="2"/>
      <c r="N68" s="2"/>
      <c r="O68" s="2"/>
      <c r="P68" s="2"/>
      <c r="Q68" s="2"/>
      <c r="R68" s="2"/>
      <c r="S68" s="2"/>
    </row>
    <row r="69" spans="1:29" ht="18.75">
      <c r="A69" s="6" t="s">
        <v>163</v>
      </c>
      <c r="B69" s="6"/>
      <c r="C69" s="17"/>
      <c r="D69" s="17">
        <f>ROUND((225*D52*D17*D15^2)/D11^5,4)</f>
        <v>1.9800000000000002E-2</v>
      </c>
      <c r="E69" s="17" t="s">
        <v>162</v>
      </c>
      <c r="F69" s="6"/>
      <c r="G69" s="17"/>
      <c r="H69" s="6"/>
      <c r="I69" s="6"/>
      <c r="J69" s="6"/>
      <c r="K69" s="6"/>
      <c r="L69" s="2"/>
      <c r="M69" s="2"/>
      <c r="N69" s="2"/>
      <c r="O69" s="2"/>
      <c r="P69" s="2"/>
      <c r="Q69" s="2"/>
      <c r="R69" s="2"/>
      <c r="S69" s="2"/>
    </row>
    <row r="70" spans="1:29" ht="18.75">
      <c r="A70" s="6"/>
      <c r="B70" s="6"/>
      <c r="C70" s="17"/>
      <c r="D70" s="17"/>
      <c r="E70" s="17"/>
      <c r="F70" s="6"/>
      <c r="G70" s="17"/>
      <c r="H70" s="6"/>
      <c r="I70" s="6"/>
      <c r="J70" s="6"/>
      <c r="K70" s="6"/>
      <c r="L70" s="2"/>
      <c r="M70" s="2"/>
      <c r="N70" s="2"/>
      <c r="O70" s="2"/>
      <c r="P70" s="2"/>
      <c r="Q70" s="2"/>
      <c r="R70" s="2"/>
      <c r="S70" s="3">
        <v>0.5</v>
      </c>
    </row>
    <row r="71" spans="1:29" ht="18.75">
      <c r="A71" s="6"/>
      <c r="B71" s="6"/>
      <c r="C71" s="6"/>
      <c r="D71" s="6"/>
      <c r="E71" s="17"/>
      <c r="F71" s="17"/>
      <c r="G71" s="17"/>
      <c r="H71" s="6"/>
      <c r="I71" s="6"/>
      <c r="J71" s="6"/>
      <c r="K71" s="6"/>
      <c r="L71" s="3" t="s">
        <v>78</v>
      </c>
      <c r="M71" s="3"/>
      <c r="N71" s="3"/>
      <c r="O71" s="3"/>
      <c r="P71" s="3"/>
      <c r="Q71" s="3"/>
      <c r="R71" s="3"/>
      <c r="S71" s="3">
        <f>SUM(S62:S70)</f>
        <v>3.8970000000000002</v>
      </c>
    </row>
    <row r="72" spans="1:29" ht="23.25">
      <c r="A72" s="18" t="s">
        <v>125</v>
      </c>
      <c r="B72" s="6"/>
      <c r="C72" s="6"/>
      <c r="D72" s="6">
        <f>H26+D36+D57+D67</f>
        <v>2814.6089999999999</v>
      </c>
      <c r="E72" s="16" t="s">
        <v>190</v>
      </c>
      <c r="F72" s="6">
        <f>J26+F36+F57+F67</f>
        <v>1272230.0719999999</v>
      </c>
      <c r="G72" s="17" t="s">
        <v>191</v>
      </c>
      <c r="H72" s="6"/>
      <c r="I72" s="6"/>
      <c r="J72" s="6"/>
      <c r="K72" s="6"/>
    </row>
    <row r="73" spans="1:29" ht="18.75">
      <c r="A73" s="6"/>
      <c r="B73" s="6"/>
      <c r="C73" s="6"/>
      <c r="D73" s="6">
        <f>ROUND(D72*D17/D29,2)</f>
        <v>13.74</v>
      </c>
      <c r="E73" s="17" t="s">
        <v>153</v>
      </c>
      <c r="F73" s="6"/>
      <c r="G73" s="17"/>
      <c r="H73" s="6"/>
      <c r="I73" s="6"/>
      <c r="J73" s="6"/>
      <c r="K73" s="6"/>
    </row>
    <row r="74" spans="1:29" ht="18.75">
      <c r="A74" s="6"/>
      <c r="B74" s="6"/>
      <c r="C74" s="6"/>
      <c r="D74" s="6">
        <f>D73-1.013</f>
        <v>12.727</v>
      </c>
      <c r="E74" s="17" t="s">
        <v>145</v>
      </c>
      <c r="F74" s="6">
        <f>ROUND(F72/D29,2)</f>
        <v>12.72</v>
      </c>
      <c r="G74" s="17" t="s">
        <v>145</v>
      </c>
      <c r="H74" s="6"/>
      <c r="I74" s="6"/>
      <c r="J74" s="6"/>
      <c r="K74" s="6"/>
    </row>
    <row r="75" spans="1:29" ht="18.75">
      <c r="A75" s="6"/>
      <c r="B75" s="6"/>
      <c r="C75" s="6"/>
      <c r="D75" s="6"/>
      <c r="E75" s="17"/>
      <c r="F75" s="6"/>
      <c r="G75" s="17"/>
      <c r="H75" s="6"/>
      <c r="I75" s="6"/>
      <c r="J75" s="6"/>
      <c r="K75" s="6"/>
    </row>
    <row r="76" spans="1:29" ht="18.75">
      <c r="A76" s="6" t="s">
        <v>194</v>
      </c>
      <c r="B76" s="6"/>
      <c r="C76" s="6"/>
      <c r="D76" s="6">
        <f>ROUND(10.2*D73/D16,2)</f>
        <v>287.19</v>
      </c>
      <c r="E76" s="6" t="s">
        <v>144</v>
      </c>
      <c r="F76" s="6"/>
      <c r="G76" s="17"/>
      <c r="H76" s="6"/>
      <c r="I76" s="6"/>
      <c r="J76" s="6"/>
      <c r="K76" s="6"/>
    </row>
    <row r="77" spans="1:29" ht="18.75">
      <c r="A77" s="6"/>
      <c r="B77" s="6"/>
      <c r="C77" s="6"/>
      <c r="D77" s="6"/>
      <c r="E77" s="17"/>
      <c r="F77" s="6"/>
      <c r="G77" s="17"/>
      <c r="H77" s="6"/>
      <c r="I77" s="6"/>
      <c r="J77" s="6"/>
      <c r="K77" s="6"/>
    </row>
    <row r="78" spans="1:29" ht="18.75">
      <c r="A78" s="6"/>
      <c r="B78" s="6"/>
      <c r="C78" s="17"/>
      <c r="D78" s="17"/>
      <c r="E78" s="17"/>
      <c r="F78" s="17"/>
      <c r="G78" s="17"/>
      <c r="H78" s="6"/>
      <c r="I78" s="6"/>
      <c r="J78" s="6"/>
      <c r="K78" s="6"/>
    </row>
    <row r="79" spans="1:29" ht="18.75">
      <c r="A79" s="18" t="s">
        <v>90</v>
      </c>
      <c r="B79" s="18"/>
      <c r="C79" s="19"/>
      <c r="D79" s="17"/>
      <c r="E79" s="17"/>
      <c r="F79" s="17"/>
      <c r="G79" s="17"/>
      <c r="H79" s="6"/>
      <c r="I79" s="6"/>
      <c r="J79" s="6"/>
      <c r="K79" s="6"/>
    </row>
    <row r="80" spans="1:29" ht="18.75">
      <c r="A80" s="6"/>
      <c r="B80" s="6"/>
      <c r="C80" s="17"/>
      <c r="D80" s="17"/>
      <c r="E80" s="17"/>
      <c r="F80" s="17"/>
      <c r="G80" s="17"/>
      <c r="H80" s="6"/>
      <c r="I80" s="6"/>
      <c r="J80" s="6"/>
      <c r="K80" s="6"/>
    </row>
    <row r="81" spans="1:22" ht="22.5">
      <c r="A81" s="6"/>
      <c r="B81" s="6"/>
      <c r="C81" s="17"/>
      <c r="D81" s="17">
        <f>ROUND((F26*D29)+F36+F57+F67,3)</f>
        <v>1373530.0719999999</v>
      </c>
      <c r="E81" s="17" t="s">
        <v>191</v>
      </c>
      <c r="F81" s="6"/>
      <c r="G81" s="17"/>
      <c r="H81" s="6"/>
      <c r="I81" s="6"/>
      <c r="J81" s="6"/>
      <c r="K81" s="6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ht="18.75">
      <c r="A82" s="6"/>
      <c r="B82" s="6"/>
      <c r="C82" s="17"/>
      <c r="D82" s="17">
        <f>ROUND(D81/D29,2)</f>
        <v>13.74</v>
      </c>
      <c r="E82" s="17" t="s">
        <v>153</v>
      </c>
      <c r="F82" s="17">
        <f>D82-1.013</f>
        <v>12.727</v>
      </c>
      <c r="G82" s="17" t="s">
        <v>145</v>
      </c>
      <c r="H82" s="6"/>
      <c r="I82" s="6"/>
      <c r="J82" s="6"/>
      <c r="K82" s="6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ht="18.75">
      <c r="A83" s="18" t="s">
        <v>89</v>
      </c>
      <c r="B83" s="18"/>
      <c r="C83" s="17"/>
      <c r="D83" s="17"/>
      <c r="E83" s="17"/>
      <c r="F83" s="17"/>
      <c r="G83" s="6"/>
      <c r="H83" s="6"/>
      <c r="I83" s="6"/>
      <c r="J83" s="6"/>
      <c r="K83" s="6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ht="18.75">
      <c r="A84" s="6"/>
      <c r="B84" s="6"/>
      <c r="C84" s="17"/>
      <c r="D84" s="17"/>
      <c r="E84" s="17"/>
      <c r="F84" s="17"/>
      <c r="G84" s="6"/>
      <c r="H84" s="6"/>
      <c r="I84" s="6"/>
      <c r="J84" s="6"/>
      <c r="K84" s="6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ht="18.75">
      <c r="A85" s="18"/>
      <c r="B85" s="18"/>
      <c r="C85" s="17"/>
      <c r="D85" s="17"/>
      <c r="E85" s="17"/>
      <c r="F85" s="17"/>
      <c r="G85" s="6"/>
      <c r="H85" s="6"/>
      <c r="I85" s="6"/>
      <c r="J85" s="6"/>
      <c r="K85" s="6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ht="18.75">
      <c r="A86" s="6"/>
      <c r="B86" s="6"/>
      <c r="C86" s="17"/>
      <c r="D86" s="17"/>
      <c r="E86" s="17"/>
      <c r="F86" s="17"/>
      <c r="G86" s="6"/>
      <c r="H86" s="6"/>
      <c r="I86" s="6"/>
      <c r="J86" s="6"/>
      <c r="K86" s="6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 ht="18.75">
      <c r="A87" s="6"/>
      <c r="B87" s="6"/>
      <c r="C87" s="17"/>
      <c r="D87" s="17"/>
      <c r="E87" s="17"/>
      <c r="F87" s="17"/>
      <c r="G87" s="6"/>
      <c r="H87" s="6"/>
      <c r="I87" s="6"/>
      <c r="J87" s="6"/>
      <c r="K87" s="6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ht="18.75">
      <c r="A88" s="18" t="s">
        <v>164</v>
      </c>
      <c r="B88" s="18"/>
      <c r="C88" s="6"/>
      <c r="D88" s="6"/>
      <c r="E88" s="6"/>
      <c r="F88" s="6"/>
      <c r="G88" s="6"/>
      <c r="H88" s="6"/>
      <c r="I88" s="6"/>
      <c r="J88" s="6"/>
      <c r="K88" s="6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ht="18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ht="18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 ht="18.75">
      <c r="A91" s="18" t="s">
        <v>165</v>
      </c>
      <c r="B91" s="18"/>
      <c r="C91" s="18"/>
      <c r="D91" s="19">
        <v>6</v>
      </c>
      <c r="E91" s="6"/>
      <c r="F91" s="6"/>
      <c r="G91" s="6"/>
      <c r="H91" s="6"/>
      <c r="I91" s="6"/>
      <c r="J91" s="6"/>
      <c r="K91" s="6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 ht="18.75">
      <c r="A92" s="6" t="s">
        <v>166</v>
      </c>
      <c r="B92" s="6"/>
      <c r="C92" s="6"/>
      <c r="D92" s="17">
        <v>154.1</v>
      </c>
      <c r="E92" s="6"/>
      <c r="F92" s="6"/>
      <c r="G92" s="6"/>
      <c r="H92" s="6"/>
      <c r="I92" s="6"/>
      <c r="J92" s="6"/>
      <c r="K92" s="6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ht="18.75">
      <c r="A93" s="6" t="s">
        <v>167</v>
      </c>
      <c r="B93" s="6"/>
      <c r="C93" s="6"/>
      <c r="D93" s="17">
        <f>ROUND(21.22*$D$15/$D$92^2,2)</f>
        <v>1.82</v>
      </c>
      <c r="E93" s="6"/>
      <c r="F93" s="6"/>
      <c r="G93" s="6"/>
      <c r="H93" s="6"/>
      <c r="I93" s="6"/>
      <c r="J93" s="6"/>
      <c r="K93" s="6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ht="18.75">
      <c r="A94" s="6" t="s">
        <v>64</v>
      </c>
      <c r="B94" s="6"/>
      <c r="C94" s="6"/>
      <c r="D94" s="17">
        <f>ROUND((21.22*$D$16*$D$18)/(D92*D$19),0)</f>
        <v>35867</v>
      </c>
      <c r="E94" s="6"/>
      <c r="F94" s="6"/>
      <c r="G94" s="6"/>
      <c r="H94" s="6"/>
      <c r="I94" s="6"/>
      <c r="J94" s="6"/>
      <c r="K94" s="6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ht="18.75">
      <c r="A95" s="6" t="s">
        <v>65</v>
      </c>
      <c r="B95" s="6"/>
      <c r="C95" s="6"/>
      <c r="D95" s="17" t="str">
        <f>IF(D94&gt;=4000,"TURBULENT FLOW","LAMINAR FLOW")</f>
        <v>TURBULENT FLOW</v>
      </c>
      <c r="E95" s="6"/>
      <c r="F95" s="6"/>
      <c r="G95" s="6"/>
      <c r="H95" s="6"/>
      <c r="I95" s="6"/>
      <c r="J95" s="6"/>
      <c r="K95" s="6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ht="18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ht="20.25">
      <c r="A97" s="18" t="s">
        <v>186</v>
      </c>
      <c r="B97" s="18"/>
      <c r="C97" s="6"/>
      <c r="D97" s="17"/>
      <c r="E97" s="6"/>
      <c r="F97" s="6"/>
      <c r="G97" s="6"/>
      <c r="H97" s="6"/>
      <c r="I97" s="6"/>
      <c r="J97" s="6"/>
      <c r="K97" s="6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ht="18.75">
      <c r="A98" s="6" t="s">
        <v>168</v>
      </c>
      <c r="B98" s="6"/>
      <c r="C98" s="17"/>
      <c r="D98" s="17">
        <f>$D$23/$D$92</f>
        <v>2.9850746268656717E-4</v>
      </c>
      <c r="E98" s="6"/>
      <c r="F98" s="6"/>
      <c r="G98" s="6"/>
      <c r="H98" s="6"/>
      <c r="I98" s="6"/>
      <c r="J98" s="6"/>
      <c r="K98" s="6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ht="18.75">
      <c r="A99" s="6" t="s">
        <v>0</v>
      </c>
      <c r="B99" s="6"/>
      <c r="C99" s="6"/>
      <c r="D99" s="17">
        <f>ROUND(D98/3.7,5)</f>
        <v>8.0000000000000007E-5</v>
      </c>
      <c r="E99" s="6"/>
      <c r="F99" s="6"/>
      <c r="G99" s="6"/>
      <c r="H99" s="6"/>
      <c r="I99" s="6"/>
      <c r="J99" s="6"/>
      <c r="K99" s="6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ht="18.75">
      <c r="A100" s="6" t="s">
        <v>67</v>
      </c>
      <c r="B100" s="6"/>
      <c r="C100" s="6"/>
      <c r="D100" s="17">
        <f>ROUND((6.7/D$94)^0.9,5)</f>
        <v>4.4000000000000002E-4</v>
      </c>
      <c r="E100" s="6"/>
      <c r="F100" s="6" t="s">
        <v>168</v>
      </c>
      <c r="G100" s="17">
        <f>$D$23/$D$11</f>
        <v>2.2693635915145536E-4</v>
      </c>
      <c r="H100" s="6"/>
      <c r="I100" s="6"/>
      <c r="J100" s="6"/>
      <c r="K100" s="6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 ht="18.75">
      <c r="A101" s="6" t="s">
        <v>68</v>
      </c>
      <c r="B101" s="6"/>
      <c r="C101" s="6"/>
      <c r="D101" s="17">
        <f>ROUND(SUM(D99:D100),5)</f>
        <v>5.1999999999999995E-4</v>
      </c>
      <c r="E101" s="6"/>
      <c r="F101" s="6"/>
      <c r="G101" s="6"/>
      <c r="H101" s="6"/>
      <c r="I101" s="6"/>
      <c r="J101" s="6"/>
      <c r="K101" s="6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ht="18.75">
      <c r="A102" s="6" t="s">
        <v>69</v>
      </c>
      <c r="B102" s="6"/>
      <c r="C102" s="6"/>
      <c r="D102" s="17">
        <f>-4*LOG(D$99-(5.02*LOG(D101)/D$94))</f>
        <v>13.071605424903408</v>
      </c>
      <c r="E102" s="6"/>
      <c r="F102" s="6" t="s">
        <v>94</v>
      </c>
      <c r="G102" s="6">
        <f>ROUND((2.457*LN(1/((7/D94)^0.9+(0.27*D98))))^16,3)</f>
        <v>1.8668621144295001E+20</v>
      </c>
      <c r="H102" s="6" t="s">
        <v>95</v>
      </c>
      <c r="I102" s="6">
        <f>(37530/D94)^16</f>
        <v>2.0650766971575036</v>
      </c>
      <c r="J102" s="6"/>
      <c r="K102" s="6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ht="18.75">
      <c r="A103" s="6" t="s">
        <v>66</v>
      </c>
      <c r="B103" s="6"/>
      <c r="C103" s="6"/>
      <c r="D103" s="17">
        <f>ROUND(1/(D102)^2,4)</f>
        <v>5.8999999999999999E-3</v>
      </c>
      <c r="E103" s="6"/>
      <c r="F103" s="6"/>
      <c r="G103" s="6"/>
      <c r="H103" s="6"/>
      <c r="I103" s="6"/>
      <c r="J103" s="6"/>
      <c r="K103" s="6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1:22" ht="20.25">
      <c r="A104" s="18" t="s">
        <v>187</v>
      </c>
      <c r="B104" s="18"/>
      <c r="C104" s="6"/>
      <c r="D104" s="17">
        <f>4*D103</f>
        <v>2.3599999999999999E-2</v>
      </c>
      <c r="E104" s="6"/>
      <c r="F104" s="6" t="s">
        <v>96</v>
      </c>
      <c r="G104" s="6"/>
      <c r="H104" s="6"/>
      <c r="I104" s="6">
        <f>ROUND(8*((8/D94)^12+(1/(G102+I102)^1.5))^(1/12),4)</f>
        <v>2.3400000000000001E-2</v>
      </c>
      <c r="J104" s="6"/>
      <c r="K104" s="6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1:22" ht="20.25">
      <c r="A105" s="6"/>
      <c r="B105" s="6"/>
      <c r="C105" s="6"/>
      <c r="D105" s="6"/>
      <c r="E105" s="6"/>
      <c r="F105" s="6" t="s">
        <v>184</v>
      </c>
      <c r="G105" s="6"/>
      <c r="H105" s="6"/>
      <c r="I105" s="6">
        <f>I104/4</f>
        <v>5.8500000000000002E-3</v>
      </c>
      <c r="J105" s="6"/>
      <c r="K105" s="6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1:22" ht="18.75">
      <c r="A106" s="18" t="s">
        <v>169</v>
      </c>
      <c r="B106" s="18"/>
      <c r="C106" s="18"/>
      <c r="D106" s="6">
        <f>ROUND((225*D104*D17*D15^2/D92^5),3)</f>
        <v>0.124</v>
      </c>
      <c r="E106" s="6"/>
      <c r="F106" s="6"/>
      <c r="G106" s="6"/>
      <c r="H106" s="6"/>
      <c r="I106" s="6"/>
      <c r="J106" s="6"/>
      <c r="K106" s="6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spans="1:22" ht="18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ht="18.75">
      <c r="A108" s="18" t="s">
        <v>170</v>
      </c>
      <c r="B108" s="18"/>
      <c r="C108" s="18"/>
      <c r="D108" s="19">
        <v>10</v>
      </c>
      <c r="E108" s="6"/>
      <c r="F108" s="6"/>
      <c r="G108" s="6"/>
      <c r="H108" s="6"/>
      <c r="I108" s="6"/>
      <c r="J108" s="6"/>
      <c r="K108" s="6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ht="18.75">
      <c r="A109" s="6" t="s">
        <v>171</v>
      </c>
      <c r="B109" s="6"/>
      <c r="C109" s="6"/>
      <c r="D109" s="17">
        <v>254.5</v>
      </c>
      <c r="E109" s="6"/>
      <c r="F109" s="6"/>
      <c r="G109" s="6"/>
      <c r="H109" s="6"/>
      <c r="I109" s="6"/>
      <c r="J109" s="6"/>
      <c r="K109" s="6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 ht="18.75">
      <c r="A110" s="6" t="s">
        <v>172</v>
      </c>
      <c r="B110" s="6"/>
      <c r="C110" s="6"/>
      <c r="D110" s="17">
        <f>ROUND(21.22*$D$15/$D$109^2,2)</f>
        <v>0.67</v>
      </c>
      <c r="E110" s="6"/>
      <c r="F110" s="6"/>
      <c r="G110" s="6"/>
      <c r="H110" s="6"/>
      <c r="I110" s="6"/>
      <c r="J110" s="6"/>
      <c r="K110" s="6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1:22" ht="18.75">
      <c r="A111" s="6"/>
      <c r="B111" s="6"/>
      <c r="C111" s="6"/>
      <c r="D111" s="17"/>
      <c r="E111" s="6"/>
      <c r="F111" s="6"/>
      <c r="G111" s="6"/>
      <c r="H111" s="6"/>
      <c r="I111" s="6"/>
      <c r="J111" s="6"/>
      <c r="K111" s="6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ht="18.75">
      <c r="A112" s="6" t="s">
        <v>64</v>
      </c>
      <c r="B112" s="6"/>
      <c r="C112" s="6"/>
      <c r="D112" s="17">
        <f>ROUND((21.22*$D15*$D$17)/(D109*D$19),0)</f>
        <v>741739</v>
      </c>
      <c r="E112" s="6"/>
      <c r="F112" s="6"/>
      <c r="G112" s="6"/>
      <c r="H112" s="6"/>
      <c r="I112" s="6"/>
      <c r="J112" s="6"/>
      <c r="K112" s="6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1:22" ht="18.75">
      <c r="A113" s="6" t="s">
        <v>65</v>
      </c>
      <c r="B113" s="6"/>
      <c r="C113" s="6"/>
      <c r="D113" s="17" t="str">
        <f>IF(D112&gt;=4000,"TURBULENT FLOW","LAMINAR FLOW")</f>
        <v>TURBULENT FLOW</v>
      </c>
      <c r="E113" s="6"/>
      <c r="F113" s="6"/>
      <c r="G113" s="6"/>
      <c r="H113" s="6"/>
      <c r="I113" s="6"/>
      <c r="J113" s="6"/>
      <c r="K113" s="6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ht="18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22" ht="18.75">
      <c r="A115" s="6" t="s">
        <v>173</v>
      </c>
      <c r="B115" s="6"/>
      <c r="C115" s="6"/>
      <c r="D115" s="17"/>
      <c r="E115" s="6"/>
      <c r="F115" s="6"/>
      <c r="G115" s="6"/>
      <c r="H115" s="6"/>
      <c r="I115" s="6"/>
      <c r="J115" s="6"/>
      <c r="K115" s="6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 ht="18.75">
      <c r="A116" s="6" t="s">
        <v>168</v>
      </c>
      <c r="B116" s="6"/>
      <c r="C116" s="17"/>
      <c r="D116" s="17">
        <f>$D$23/$D$109</f>
        <v>1.8074656188605108E-4</v>
      </c>
      <c r="E116" s="6"/>
      <c r="F116" s="6"/>
      <c r="G116" s="6"/>
      <c r="H116" s="6"/>
      <c r="I116" s="6"/>
      <c r="J116" s="6"/>
      <c r="K116" s="6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22" ht="18.75">
      <c r="A117" s="6" t="s">
        <v>0</v>
      </c>
      <c r="B117" s="6"/>
      <c r="C117" s="6"/>
      <c r="D117" s="17">
        <f>ROUND(D116/3.7,5)</f>
        <v>5.0000000000000002E-5</v>
      </c>
      <c r="E117" s="6"/>
      <c r="F117" s="6"/>
      <c r="G117" s="6"/>
      <c r="H117" s="6"/>
      <c r="I117" s="6"/>
      <c r="J117" s="6"/>
      <c r="K117" s="6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ht="18.75">
      <c r="A118" s="6" t="s">
        <v>67</v>
      </c>
      <c r="B118" s="6"/>
      <c r="C118" s="6"/>
      <c r="D118" s="17">
        <f>ROUND((6.7/$D112)^0.9,5)</f>
        <v>3.0000000000000001E-5</v>
      </c>
      <c r="E118" s="6"/>
      <c r="F118" s="6"/>
      <c r="G118" s="6"/>
      <c r="H118" s="6"/>
      <c r="I118" s="6"/>
      <c r="J118" s="6"/>
      <c r="K118" s="6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1:22" ht="18.75">
      <c r="A119" s="6" t="s">
        <v>68</v>
      </c>
      <c r="B119" s="6"/>
      <c r="C119" s="6"/>
      <c r="D119" s="17">
        <f>ROUND(SUM(D117:D118),5)</f>
        <v>8.0000000000000007E-5</v>
      </c>
      <c r="E119" s="6"/>
      <c r="F119" s="6"/>
      <c r="G119" s="6"/>
      <c r="H119" s="6"/>
      <c r="I119" s="6"/>
      <c r="J119" s="6"/>
      <c r="K119" s="6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 ht="18.75">
      <c r="A120" s="6" t="s">
        <v>69</v>
      </c>
      <c r="B120" s="6"/>
      <c r="C120" s="6"/>
      <c r="D120" s="17">
        <f>-4*LOG(D117-(5.02*LOG(D119)/D$112))</f>
        <v>16.437703608466347</v>
      </c>
      <c r="E120" s="6"/>
      <c r="F120" s="6" t="s">
        <v>94</v>
      </c>
      <c r="G120" s="6">
        <f>ROUND((2.457*LN(1/((7/D112)^0.9+(0.27*D116))))^16,3)</f>
        <v>7.1152486588155104E+21</v>
      </c>
      <c r="H120" s="6" t="s">
        <v>95</v>
      </c>
      <c r="I120" s="6">
        <f>(37530/D112)^16</f>
        <v>1.8451819582010375E-21</v>
      </c>
      <c r="J120" s="6"/>
      <c r="K120" s="6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spans="1:22" ht="18.75">
      <c r="A121" s="6" t="s">
        <v>66</v>
      </c>
      <c r="B121" s="6"/>
      <c r="C121" s="6"/>
      <c r="D121" s="17">
        <f>ROUND(1/(D120)^2,4)</f>
        <v>3.7000000000000002E-3</v>
      </c>
      <c r="E121" s="6"/>
      <c r="F121" s="6"/>
      <c r="G121" s="6"/>
      <c r="H121" s="6"/>
      <c r="I121" s="6"/>
      <c r="J121" s="6"/>
      <c r="K121" s="6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ht="20.25">
      <c r="A122" s="18" t="s">
        <v>187</v>
      </c>
      <c r="B122" s="18"/>
      <c r="C122" s="18"/>
      <c r="D122" s="19">
        <f>4*D121</f>
        <v>1.4800000000000001E-2</v>
      </c>
      <c r="E122" s="6"/>
      <c r="F122" s="6" t="s">
        <v>96</v>
      </c>
      <c r="G122" s="6"/>
      <c r="H122" s="6"/>
      <c r="I122" s="6">
        <f>ROUND(8*((8/D112)^12+(1/(G120+I120)^1.5))^(1/12),4)</f>
        <v>1.4800000000000001E-2</v>
      </c>
      <c r="J122" s="6"/>
      <c r="K122" s="6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ht="20.25">
      <c r="A123" s="6"/>
      <c r="B123" s="6"/>
      <c r="C123" s="6"/>
      <c r="D123" s="6"/>
      <c r="E123" s="6"/>
      <c r="F123" s="6" t="s">
        <v>184</v>
      </c>
      <c r="G123" s="6"/>
      <c r="H123" s="6"/>
      <c r="I123" s="6">
        <f>I122/4</f>
        <v>3.7000000000000002E-3</v>
      </c>
      <c r="J123" s="6"/>
      <c r="K123" s="6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 ht="18.75">
      <c r="A124" s="18" t="s">
        <v>174</v>
      </c>
      <c r="B124" s="18"/>
      <c r="C124" s="18"/>
      <c r="D124" s="6">
        <f>ROUND((225*D122*$D$17*$D$15^2/D109^5),5)</f>
        <v>6.3400000000000001E-3</v>
      </c>
      <c r="E124" s="6"/>
      <c r="F124" s="6"/>
      <c r="G124" s="6"/>
      <c r="H124" s="6"/>
      <c r="I124" s="6"/>
      <c r="J124" s="6"/>
      <c r="K124" s="6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22" ht="18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 ht="18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1:22"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12:22"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spans="12:22"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spans="12:22"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2:22"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2:22"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spans="12:22"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spans="12:22"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2:22">
      <c r="L136" s="14"/>
      <c r="M136" s="14"/>
      <c r="N136" s="14"/>
      <c r="O136" s="14"/>
      <c r="P136" s="14"/>
      <c r="Q136" s="14"/>
      <c r="R136" s="14"/>
      <c r="S136" s="14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legacyDrawing r:id="rId2"/>
  <oleObjects>
    <oleObject progId="Equation.DSMT4" shapeId="1025" r:id="rId3"/>
    <oleObject progId="Equation.DSMT4" shapeId="1027" r:id="rId4"/>
    <oleObject progId="Equation.DSMT4" shapeId="1028" r:id="rId5"/>
    <oleObject progId="Equation.DSMT4" shapeId="1029" r:id="rId6"/>
    <oleObject progId="Equation.DSMT4" shapeId="1030" r:id="rId7"/>
    <oleObject progId="Equation.DSMT4" shapeId="1031" r:id="rId8"/>
    <oleObject progId="Equation.DSMT4" shapeId="1032" r:id="rId9"/>
    <oleObject progId="Equation.DSMT4" shapeId="1033" r:id="rId10"/>
    <oleObject progId="Equation.DSMT4" shapeId="1034" r:id="rId11"/>
    <oleObject progId="Equation.DSMT4" shapeId="1035" r:id="rId12"/>
    <oleObject progId="Equation.DSMT4" shapeId="1036" r:id="rId13"/>
    <oleObject progId="Equation.DSMT4" shapeId="1037" r:id="rId14"/>
    <oleObject progId="Equation.DSMT4" shapeId="1039" r:id="rId15"/>
    <oleObject progId="Equation.DSMT4" shapeId="1040" r:id="rId16"/>
    <oleObject progId="Equation.DSMT4" shapeId="1042" r:id="rId17"/>
    <oleObject progId="Equation.DSMT4" shapeId="1043" r:id="rId18"/>
    <oleObject progId="Equation.DSMT4" shapeId="1046" r:id="rId19"/>
    <oleObject progId="Equation.DSMT4" shapeId="1050" r:id="rId20"/>
    <oleObject progId="Equation.DSMT4" shapeId="1051" r:id="rId21"/>
    <oleObject progId="Equation.DSMT4" shapeId="1052" r:id="rId22"/>
    <oleObject progId="Visio.Drawing.11" shapeId="1053" r:id="rId2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D132"/>
  <sheetViews>
    <sheetView topLeftCell="A88" zoomScale="90" zoomScaleNormal="90" workbookViewId="0">
      <selection activeCell="A2" sqref="A2"/>
    </sheetView>
  </sheetViews>
  <sheetFormatPr defaultRowHeight="12.75"/>
  <cols>
    <col min="1" max="1" width="15" customWidth="1"/>
    <col min="2" max="2" width="16.85546875" customWidth="1"/>
    <col min="3" max="3" width="15.7109375" customWidth="1"/>
    <col min="4" max="4" width="24.5703125" customWidth="1"/>
    <col min="5" max="5" width="27.42578125" customWidth="1"/>
    <col min="6" max="6" width="14.42578125" customWidth="1"/>
    <col min="7" max="7" width="10.140625" customWidth="1"/>
    <col min="8" max="8" width="13.5703125" customWidth="1"/>
    <col min="9" max="9" width="14" customWidth="1"/>
    <col min="10" max="10" width="14.85546875" customWidth="1"/>
    <col min="12" max="12" width="17.28515625" bestFit="1" customWidth="1"/>
    <col min="13" max="13" width="31.42578125" bestFit="1" customWidth="1"/>
    <col min="14" max="14" width="41" customWidth="1"/>
    <col min="15" max="15" width="11.5703125" customWidth="1"/>
    <col min="16" max="16" width="12.140625" customWidth="1"/>
    <col min="17" max="17" width="11.5703125" customWidth="1"/>
    <col min="18" max="18" width="11.140625" customWidth="1"/>
    <col min="23" max="23" width="16.42578125" customWidth="1"/>
    <col min="24" max="24" width="20.28515625" customWidth="1"/>
  </cols>
  <sheetData>
    <row r="1" spans="1:17" ht="18">
      <c r="A1" s="36" t="s">
        <v>205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7" ht="18">
      <c r="A2" s="37"/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7" ht="18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7" ht="18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7" ht="18.7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8"/>
      <c r="L5" s="6"/>
      <c r="M5" s="6"/>
      <c r="N5" s="6"/>
      <c r="O5" s="6"/>
      <c r="P5" s="6"/>
      <c r="Q5" s="6"/>
    </row>
    <row r="6" spans="1:17" ht="18.75">
      <c r="A6" s="37" t="s">
        <v>4</v>
      </c>
      <c r="B6" s="37"/>
      <c r="C6" s="37"/>
      <c r="D6" s="37"/>
      <c r="E6" s="37"/>
      <c r="F6" s="37" t="s">
        <v>5</v>
      </c>
      <c r="G6" s="37"/>
      <c r="H6" s="37"/>
      <c r="I6" s="37"/>
      <c r="J6" s="37"/>
      <c r="K6" s="38"/>
      <c r="L6" s="7"/>
      <c r="M6" s="7"/>
      <c r="N6" s="8" t="s">
        <v>203</v>
      </c>
      <c r="O6" s="8"/>
      <c r="P6" s="8"/>
      <c r="Q6" s="7"/>
    </row>
    <row r="7" spans="1:17" ht="18.75">
      <c r="A7" s="37"/>
      <c r="B7" s="37"/>
      <c r="C7" s="37"/>
      <c r="D7" s="37"/>
      <c r="E7" s="37"/>
      <c r="F7" s="37"/>
      <c r="G7" s="37"/>
      <c r="H7" s="37"/>
      <c r="I7" s="37"/>
      <c r="J7" s="37"/>
      <c r="K7" s="38"/>
      <c r="L7" s="7"/>
      <c r="M7" s="7" t="s">
        <v>97</v>
      </c>
      <c r="N7" s="7"/>
      <c r="O7" s="8"/>
      <c r="P7" s="8"/>
      <c r="Q7" s="8"/>
    </row>
    <row r="8" spans="1:17" ht="18.75">
      <c r="A8" s="36" t="s">
        <v>60</v>
      </c>
      <c r="B8" s="37"/>
      <c r="C8" s="37"/>
      <c r="D8" s="37"/>
      <c r="E8" s="37"/>
      <c r="F8" s="37"/>
      <c r="G8" s="37"/>
      <c r="H8" s="37"/>
      <c r="I8" s="37"/>
      <c r="J8" s="37"/>
      <c r="K8" s="38"/>
      <c r="L8" s="8"/>
      <c r="M8" s="8"/>
      <c r="N8" s="8"/>
      <c r="O8" s="8"/>
      <c r="P8" s="8"/>
      <c r="Q8" s="8"/>
    </row>
    <row r="9" spans="1:17" ht="18.75">
      <c r="A9" s="37"/>
      <c r="B9" s="37"/>
      <c r="C9" s="37"/>
      <c r="D9" s="37"/>
      <c r="E9" s="37"/>
      <c r="F9" s="38"/>
      <c r="G9" s="38"/>
      <c r="H9" s="38"/>
      <c r="I9" s="39"/>
      <c r="J9" s="38"/>
      <c r="K9" s="38"/>
      <c r="L9" s="8"/>
      <c r="M9" s="8"/>
      <c r="N9" s="8"/>
      <c r="O9" s="8"/>
      <c r="P9" s="8"/>
      <c r="Q9" s="8"/>
    </row>
    <row r="10" spans="1:17" ht="18.7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8"/>
      <c r="L10" s="8"/>
      <c r="M10" s="8"/>
      <c r="N10" s="8"/>
      <c r="O10" s="8"/>
      <c r="P10" s="8"/>
      <c r="Q10" s="8"/>
    </row>
    <row r="11" spans="1:17" ht="18.75">
      <c r="A11" s="34" t="s">
        <v>61</v>
      </c>
      <c r="B11" s="34"/>
      <c r="C11" s="35" t="s">
        <v>116</v>
      </c>
      <c r="D11" s="35" t="s">
        <v>142</v>
      </c>
      <c r="E11" s="35"/>
      <c r="F11" s="34"/>
      <c r="G11" s="34"/>
      <c r="H11" s="34"/>
      <c r="I11" s="34"/>
      <c r="J11" s="34"/>
      <c r="K11" s="38"/>
      <c r="L11" s="8"/>
      <c r="M11" s="8"/>
      <c r="N11" s="8"/>
      <c r="O11" s="8"/>
      <c r="P11" s="8"/>
      <c r="Q11" s="8"/>
    </row>
    <row r="12" spans="1:17" ht="20.25">
      <c r="A12" s="34" t="s">
        <v>108</v>
      </c>
      <c r="B12" s="34"/>
      <c r="C12" s="35" t="s">
        <v>204</v>
      </c>
      <c r="D12" s="35">
        <v>154.1</v>
      </c>
      <c r="E12" s="35" t="s">
        <v>146</v>
      </c>
      <c r="F12" s="34"/>
      <c r="G12" s="34"/>
      <c r="H12" s="34"/>
      <c r="I12" s="35"/>
      <c r="J12" s="34"/>
      <c r="K12" s="38"/>
      <c r="L12" s="8" t="s">
        <v>12</v>
      </c>
      <c r="M12" s="8" t="s">
        <v>6</v>
      </c>
      <c r="N12" s="8"/>
      <c r="O12" s="8" t="s">
        <v>117</v>
      </c>
      <c r="P12" s="8" t="s">
        <v>118</v>
      </c>
      <c r="Q12" s="8" t="s">
        <v>119</v>
      </c>
    </row>
    <row r="13" spans="1:17" ht="18.75">
      <c r="A13" s="34" t="s">
        <v>107</v>
      </c>
      <c r="B13" s="34"/>
      <c r="C13" s="35" t="s">
        <v>92</v>
      </c>
      <c r="D13" s="35">
        <v>152.4</v>
      </c>
      <c r="E13" s="35" t="s">
        <v>146</v>
      </c>
      <c r="F13" s="34"/>
      <c r="G13" s="34"/>
      <c r="H13" s="34"/>
      <c r="I13" s="35"/>
      <c r="J13" s="34"/>
      <c r="K13" s="38"/>
      <c r="L13" s="8"/>
      <c r="M13" s="8"/>
      <c r="N13" s="8"/>
      <c r="O13" s="8"/>
      <c r="P13" s="8"/>
      <c r="Q13" s="8"/>
    </row>
    <row r="14" spans="1:17" ht="18.75">
      <c r="A14" s="34" t="s">
        <v>82</v>
      </c>
      <c r="B14" s="34"/>
      <c r="C14" s="35"/>
      <c r="D14" s="35">
        <v>40</v>
      </c>
      <c r="E14" s="35"/>
      <c r="F14" s="34"/>
      <c r="G14" s="34"/>
      <c r="H14" s="34"/>
      <c r="I14" s="35"/>
      <c r="J14" s="34"/>
      <c r="K14" s="38"/>
      <c r="L14" s="8" t="s">
        <v>15</v>
      </c>
      <c r="M14" s="8" t="s">
        <v>7</v>
      </c>
      <c r="N14" s="8" t="s">
        <v>8</v>
      </c>
      <c r="O14" s="8">
        <v>800</v>
      </c>
      <c r="P14" s="8">
        <v>0.14000000000000001</v>
      </c>
      <c r="Q14" s="8">
        <v>4</v>
      </c>
    </row>
    <row r="15" spans="1:17" ht="18.75">
      <c r="A15" s="34" t="s">
        <v>103</v>
      </c>
      <c r="B15" s="34"/>
      <c r="C15" s="35" t="s">
        <v>84</v>
      </c>
      <c r="D15" s="35">
        <v>122.5</v>
      </c>
      <c r="E15" s="35" t="s">
        <v>147</v>
      </c>
      <c r="F15" s="34"/>
      <c r="G15" s="34"/>
      <c r="H15" s="34"/>
      <c r="I15" s="35"/>
      <c r="J15" s="34"/>
      <c r="K15" s="38"/>
      <c r="L15" s="8"/>
      <c r="M15" s="8" t="s">
        <v>9</v>
      </c>
      <c r="N15" s="8" t="s">
        <v>10</v>
      </c>
      <c r="O15" s="8">
        <v>800</v>
      </c>
      <c r="P15" s="8">
        <v>7.0999999999999994E-2</v>
      </c>
      <c r="Q15" s="8">
        <v>4.2</v>
      </c>
    </row>
    <row r="16" spans="1:17" ht="18.75">
      <c r="A16" s="34" t="s">
        <v>103</v>
      </c>
      <c r="B16" s="34"/>
      <c r="C16" s="35" t="s">
        <v>84</v>
      </c>
      <c r="D16" s="35">
        <f>ROUND((D15*1000/60),1)</f>
        <v>2041.7</v>
      </c>
      <c r="E16" s="35" t="s">
        <v>143</v>
      </c>
      <c r="F16" s="34"/>
      <c r="G16" s="34"/>
      <c r="H16" s="34"/>
      <c r="I16" s="35"/>
      <c r="J16" s="34"/>
      <c r="K16" s="38"/>
      <c r="L16" s="8"/>
      <c r="M16" s="8" t="s">
        <v>11</v>
      </c>
      <c r="N16" s="8" t="s">
        <v>17</v>
      </c>
      <c r="O16" s="8">
        <v>800</v>
      </c>
      <c r="P16" s="8">
        <v>9.0999999999999998E-2</v>
      </c>
      <c r="Q16" s="8">
        <v>4</v>
      </c>
    </row>
    <row r="17" spans="1:17" ht="18.75">
      <c r="A17" s="34" t="s">
        <v>63</v>
      </c>
      <c r="B17" s="34"/>
      <c r="C17" s="35" t="s">
        <v>85</v>
      </c>
      <c r="D17" s="35">
        <v>0.48799999999999999</v>
      </c>
      <c r="E17" s="35"/>
      <c r="F17" s="34"/>
      <c r="G17" s="34"/>
      <c r="H17" s="34"/>
      <c r="I17" s="35"/>
      <c r="J17" s="34"/>
      <c r="K17" s="38"/>
      <c r="L17" s="8"/>
      <c r="M17" s="8"/>
      <c r="N17" s="8" t="s">
        <v>18</v>
      </c>
      <c r="O17" s="8">
        <v>800</v>
      </c>
      <c r="P17" s="8">
        <v>5.6000000000000001E-2</v>
      </c>
      <c r="Q17" s="8">
        <v>3.9</v>
      </c>
    </row>
    <row r="18" spans="1:17" ht="18.75">
      <c r="A18" s="34" t="s">
        <v>104</v>
      </c>
      <c r="B18" s="34"/>
      <c r="C18" s="35"/>
      <c r="D18" s="35">
        <f>(1000*D17)</f>
        <v>488</v>
      </c>
      <c r="E18" s="35" t="s">
        <v>148</v>
      </c>
      <c r="F18" s="34"/>
      <c r="G18" s="34"/>
      <c r="H18" s="34"/>
      <c r="I18" s="35"/>
      <c r="J18" s="34"/>
      <c r="K18" s="38"/>
      <c r="L18" s="8"/>
      <c r="M18" s="8"/>
      <c r="N18" s="8" t="s">
        <v>19</v>
      </c>
      <c r="O18" s="8">
        <v>800</v>
      </c>
      <c r="P18" s="8">
        <v>6.6000000000000003E-2</v>
      </c>
      <c r="Q18" s="8">
        <v>3.9</v>
      </c>
    </row>
    <row r="19" spans="1:17" ht="18.75">
      <c r="A19" s="34" t="s">
        <v>103</v>
      </c>
      <c r="B19" s="34"/>
      <c r="C19" s="35" t="s">
        <v>86</v>
      </c>
      <c r="D19" s="35">
        <f>ROUND((D18*D15),2)</f>
        <v>59780</v>
      </c>
      <c r="E19" s="35" t="s">
        <v>149</v>
      </c>
      <c r="F19" s="34"/>
      <c r="G19" s="34"/>
      <c r="H19" s="34"/>
      <c r="I19" s="34"/>
      <c r="J19" s="34"/>
      <c r="K19" s="38"/>
      <c r="L19" s="8"/>
      <c r="M19" s="8"/>
      <c r="N19" s="8" t="s">
        <v>20</v>
      </c>
      <c r="O19" s="8">
        <v>800</v>
      </c>
      <c r="P19" s="8">
        <v>7.4999999999999997E-2</v>
      </c>
      <c r="Q19" s="8">
        <v>4.2</v>
      </c>
    </row>
    <row r="20" spans="1:17" ht="18.75">
      <c r="A20" s="34" t="s">
        <v>105</v>
      </c>
      <c r="B20" s="34"/>
      <c r="C20" s="35"/>
      <c r="D20" s="35">
        <v>0.112</v>
      </c>
      <c r="E20" s="35" t="s">
        <v>98</v>
      </c>
      <c r="F20" s="34"/>
      <c r="G20" s="34"/>
      <c r="H20" s="34"/>
      <c r="I20" s="34"/>
      <c r="J20" s="34"/>
      <c r="K20" s="38"/>
      <c r="L20" s="8"/>
      <c r="M20" s="8" t="s">
        <v>21</v>
      </c>
      <c r="N20" s="8" t="s">
        <v>22</v>
      </c>
      <c r="O20" s="8">
        <v>1000</v>
      </c>
      <c r="P20" s="8">
        <v>0.27</v>
      </c>
      <c r="Q20" s="8">
        <v>4</v>
      </c>
    </row>
    <row r="21" spans="1:17" ht="18.75">
      <c r="A21" s="34" t="s">
        <v>102</v>
      </c>
      <c r="B21" s="34"/>
      <c r="C21" s="35" t="s">
        <v>87</v>
      </c>
      <c r="D21" s="35">
        <v>91</v>
      </c>
      <c r="E21" s="35" t="s">
        <v>144</v>
      </c>
      <c r="F21" s="34"/>
      <c r="G21" s="34"/>
      <c r="H21" s="34"/>
      <c r="I21" s="35"/>
      <c r="J21" s="34"/>
      <c r="K21" s="38"/>
      <c r="L21" s="8"/>
      <c r="M21" s="8"/>
      <c r="N21" s="8" t="s">
        <v>23</v>
      </c>
      <c r="O21" s="8">
        <v>800</v>
      </c>
      <c r="P21" s="8">
        <v>6.8000000000000005E-2</v>
      </c>
      <c r="Q21" s="8">
        <v>4.0999999999999996</v>
      </c>
    </row>
    <row r="22" spans="1:17" ht="18.75">
      <c r="A22" s="34" t="s">
        <v>101</v>
      </c>
      <c r="B22" s="34"/>
      <c r="C22" s="35"/>
      <c r="D22" s="35">
        <v>43</v>
      </c>
      <c r="E22" s="35" t="s">
        <v>144</v>
      </c>
      <c r="F22" s="34"/>
      <c r="G22" s="34"/>
      <c r="H22" s="35"/>
      <c r="I22" s="35"/>
      <c r="J22" s="34"/>
      <c r="K22" s="38"/>
      <c r="L22" s="8"/>
      <c r="M22" s="8"/>
      <c r="N22" s="8" t="s">
        <v>24</v>
      </c>
      <c r="O22" s="8">
        <v>800</v>
      </c>
      <c r="P22" s="8">
        <v>3.5000000000000003E-2</v>
      </c>
      <c r="Q22" s="8">
        <v>4.2</v>
      </c>
    </row>
    <row r="23" spans="1:17" ht="18.75">
      <c r="A23" s="34" t="s">
        <v>159</v>
      </c>
      <c r="B23" s="38"/>
      <c r="C23" s="39" t="s">
        <v>87</v>
      </c>
      <c r="D23" s="39">
        <f>SUM(D21:D22)</f>
        <v>134</v>
      </c>
      <c r="E23" s="35" t="s">
        <v>144</v>
      </c>
      <c r="F23" s="38"/>
      <c r="G23" s="38"/>
      <c r="H23" s="38"/>
      <c r="I23" s="38"/>
      <c r="J23" s="34"/>
      <c r="K23" s="38"/>
      <c r="L23" s="8" t="s">
        <v>25</v>
      </c>
      <c r="M23" s="8" t="s">
        <v>7</v>
      </c>
      <c r="N23" s="8" t="s">
        <v>17</v>
      </c>
      <c r="O23" s="8">
        <v>500</v>
      </c>
      <c r="P23" s="8">
        <v>7.0999999999999994E-2</v>
      </c>
      <c r="Q23" s="8">
        <v>4.2</v>
      </c>
    </row>
    <row r="24" spans="1:17" ht="18.75">
      <c r="A24" s="34" t="s">
        <v>100</v>
      </c>
      <c r="B24" s="34"/>
      <c r="C24" s="35"/>
      <c r="D24" s="35">
        <v>4.5999999999999999E-2</v>
      </c>
      <c r="E24" s="35" t="s">
        <v>146</v>
      </c>
      <c r="F24" s="34"/>
      <c r="G24" s="34"/>
      <c r="H24" s="34"/>
      <c r="I24" s="34"/>
      <c r="J24" s="34"/>
      <c r="K24" s="38"/>
      <c r="L24" s="8"/>
      <c r="M24" s="8" t="s">
        <v>26</v>
      </c>
      <c r="N24" s="8" t="s">
        <v>29</v>
      </c>
      <c r="O24" s="8">
        <v>500</v>
      </c>
      <c r="P24" s="8">
        <v>5.1999999999999998E-2</v>
      </c>
      <c r="Q24" s="8">
        <v>4</v>
      </c>
    </row>
    <row r="25" spans="1:17" ht="18.75">
      <c r="A25" s="34" t="s">
        <v>91</v>
      </c>
      <c r="B25" s="34"/>
      <c r="C25" s="35" t="s">
        <v>83</v>
      </c>
      <c r="D25" s="35">
        <v>9.81</v>
      </c>
      <c r="E25" s="35" t="s">
        <v>150</v>
      </c>
      <c r="F25" s="35"/>
      <c r="G25" s="34"/>
      <c r="H25" s="34"/>
      <c r="I25" s="34"/>
      <c r="J25" s="34"/>
      <c r="K25" s="38"/>
      <c r="L25" s="8"/>
      <c r="M25" s="8" t="s">
        <v>27</v>
      </c>
      <c r="N25" s="8" t="s">
        <v>30</v>
      </c>
      <c r="O25" s="8">
        <v>500</v>
      </c>
      <c r="P25" s="8">
        <v>8.5999999999999993E-2</v>
      </c>
      <c r="Q25" s="8">
        <v>4</v>
      </c>
    </row>
    <row r="26" spans="1:17" ht="20.25">
      <c r="A26" s="34" t="s">
        <v>99</v>
      </c>
      <c r="B26" s="34"/>
      <c r="C26" s="35" t="s">
        <v>180</v>
      </c>
      <c r="D26" s="35">
        <v>9.8059999999999992</v>
      </c>
      <c r="E26" s="35" t="s">
        <v>151</v>
      </c>
      <c r="F26" s="34"/>
      <c r="G26" s="34"/>
      <c r="H26" s="34"/>
      <c r="I26" s="34"/>
      <c r="J26" s="34"/>
      <c r="K26" s="38"/>
      <c r="L26" s="8"/>
      <c r="M26" s="8" t="s">
        <v>28</v>
      </c>
      <c r="N26" s="8" t="s">
        <v>31</v>
      </c>
      <c r="O26" s="8">
        <v>500</v>
      </c>
      <c r="P26" s="8">
        <v>5.1999999999999998E-2</v>
      </c>
      <c r="Q26" s="8">
        <v>4</v>
      </c>
    </row>
    <row r="27" spans="1:17" ht="22.5">
      <c r="A27" s="34" t="s">
        <v>178</v>
      </c>
      <c r="B27" s="34"/>
      <c r="C27" s="35"/>
      <c r="D27" s="35">
        <v>16.690000000000001</v>
      </c>
      <c r="E27" s="35" t="s">
        <v>145</v>
      </c>
      <c r="F27" s="35">
        <f>(D27+1.013)</f>
        <v>17.703000000000003</v>
      </c>
      <c r="G27" s="34" t="s">
        <v>153</v>
      </c>
      <c r="H27" s="34">
        <f>ROUND(F27*10^5/D18,2)</f>
        <v>3627.66</v>
      </c>
      <c r="I27" s="35" t="s">
        <v>154</v>
      </c>
      <c r="J27" s="34">
        <f>D27*D30</f>
        <v>1669000.0000000002</v>
      </c>
      <c r="K27" s="35" t="s">
        <v>191</v>
      </c>
      <c r="L27" s="8" t="s">
        <v>32</v>
      </c>
      <c r="M27" s="8" t="s">
        <v>33</v>
      </c>
      <c r="N27" s="8"/>
      <c r="O27" s="8"/>
      <c r="P27" s="8"/>
      <c r="Q27" s="8"/>
    </row>
    <row r="28" spans="1:17" ht="18.75">
      <c r="A28" s="34" t="s">
        <v>115</v>
      </c>
      <c r="B28" s="34"/>
      <c r="C28" s="35" t="s">
        <v>114</v>
      </c>
      <c r="D28" s="35">
        <v>68</v>
      </c>
      <c r="E28" s="35" t="s">
        <v>152</v>
      </c>
      <c r="F28" s="34"/>
      <c r="G28" s="34"/>
      <c r="H28" s="34"/>
      <c r="I28" s="34"/>
      <c r="J28" s="34"/>
      <c r="K28" s="38"/>
      <c r="L28" s="8"/>
      <c r="M28" s="8" t="s">
        <v>34</v>
      </c>
      <c r="N28" s="8" t="s">
        <v>17</v>
      </c>
      <c r="O28" s="8">
        <v>1000</v>
      </c>
      <c r="P28" s="8">
        <v>0.23</v>
      </c>
      <c r="Q28" s="8">
        <v>4</v>
      </c>
    </row>
    <row r="29" spans="1:17" ht="18.75">
      <c r="A29" s="34" t="s">
        <v>157</v>
      </c>
      <c r="B29" s="34"/>
      <c r="C29" s="34"/>
      <c r="D29" s="35">
        <v>14.17</v>
      </c>
      <c r="E29" s="35" t="s">
        <v>153</v>
      </c>
      <c r="F29" s="34"/>
      <c r="G29" s="34"/>
      <c r="H29" s="34"/>
      <c r="I29" s="34"/>
      <c r="J29" s="34"/>
      <c r="K29" s="38"/>
      <c r="L29" s="8" t="s">
        <v>35</v>
      </c>
      <c r="M29" s="8" t="s">
        <v>36</v>
      </c>
      <c r="N29" s="8" t="s">
        <v>17</v>
      </c>
      <c r="O29" s="8">
        <v>1000</v>
      </c>
      <c r="P29" s="8">
        <v>0.12</v>
      </c>
      <c r="Q29" s="8">
        <v>4</v>
      </c>
    </row>
    <row r="30" spans="1:17" ht="22.5">
      <c r="A30" s="34" t="s">
        <v>161</v>
      </c>
      <c r="B30" s="34"/>
      <c r="C30" s="34"/>
      <c r="D30" s="34">
        <f>10^5</f>
        <v>100000</v>
      </c>
      <c r="E30" s="35" t="s">
        <v>191</v>
      </c>
      <c r="F30" s="34"/>
      <c r="G30" s="34"/>
      <c r="H30" s="34"/>
      <c r="I30" s="34"/>
      <c r="J30" s="34"/>
      <c r="K30" s="38"/>
      <c r="L30" s="8"/>
      <c r="M30" s="8" t="s">
        <v>37</v>
      </c>
      <c r="N30" s="8" t="s">
        <v>29</v>
      </c>
      <c r="O30" s="8">
        <v>1000</v>
      </c>
      <c r="P30" s="8">
        <v>0.1</v>
      </c>
      <c r="Q30" s="8">
        <v>4</v>
      </c>
    </row>
    <row r="31" spans="1:17" ht="18.7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8"/>
      <c r="L31" s="8" t="s">
        <v>38</v>
      </c>
      <c r="M31" s="8" t="s">
        <v>39</v>
      </c>
      <c r="N31" s="8"/>
      <c r="O31" s="8"/>
      <c r="P31" s="8"/>
      <c r="Q31" s="8"/>
    </row>
    <row r="32" spans="1:17" ht="18.75">
      <c r="A32" s="18" t="s">
        <v>62</v>
      </c>
      <c r="B32" s="6"/>
      <c r="C32" s="6"/>
      <c r="D32" s="6"/>
      <c r="E32" s="6"/>
      <c r="F32" s="6"/>
      <c r="G32" s="6"/>
      <c r="H32" s="6"/>
      <c r="I32" s="6"/>
      <c r="J32" s="6"/>
      <c r="L32" s="8"/>
      <c r="M32" s="8" t="s">
        <v>40</v>
      </c>
      <c r="N32" s="8"/>
      <c r="O32" s="8"/>
      <c r="P32" s="8"/>
      <c r="Q32" s="8"/>
    </row>
    <row r="33" spans="1:17" ht="18.75">
      <c r="A33" s="6"/>
      <c r="B33" s="6"/>
      <c r="C33" s="6"/>
      <c r="D33" s="6"/>
      <c r="E33" s="6"/>
      <c r="F33" s="6"/>
      <c r="G33" s="6"/>
      <c r="H33" s="6"/>
      <c r="I33" s="6"/>
      <c r="J33" s="6"/>
      <c r="L33" s="8"/>
      <c r="M33" s="8" t="s">
        <v>41</v>
      </c>
      <c r="N33" s="8" t="s">
        <v>17</v>
      </c>
      <c r="O33" s="8">
        <v>500</v>
      </c>
      <c r="P33" s="8">
        <v>0.27400000000000002</v>
      </c>
      <c r="Q33" s="8">
        <v>4</v>
      </c>
    </row>
    <row r="34" spans="1:17" ht="18.75">
      <c r="A34" s="6"/>
      <c r="B34" s="6"/>
      <c r="C34" s="17"/>
      <c r="D34" s="17"/>
      <c r="E34" s="17"/>
      <c r="F34" s="17"/>
      <c r="G34" s="6"/>
      <c r="H34" s="6"/>
      <c r="I34" s="6"/>
      <c r="J34" s="6"/>
      <c r="L34" s="8"/>
      <c r="M34" s="8"/>
      <c r="N34" s="8" t="s">
        <v>29</v>
      </c>
      <c r="O34" s="8">
        <v>800</v>
      </c>
      <c r="P34" s="8">
        <v>0.14000000000000001</v>
      </c>
      <c r="Q34" s="8">
        <v>4</v>
      </c>
    </row>
    <row r="35" spans="1:17" ht="22.5">
      <c r="A35" s="6" t="s">
        <v>111</v>
      </c>
      <c r="B35" s="6"/>
      <c r="C35" s="17"/>
      <c r="D35" s="17">
        <f>ROUND(PI()*(D13/1000)^2/4,4)</f>
        <v>1.8200000000000001E-2</v>
      </c>
      <c r="E35" s="17" t="s">
        <v>181</v>
      </c>
      <c r="F35" s="17"/>
      <c r="G35" s="6"/>
      <c r="H35" s="6"/>
      <c r="I35" s="6"/>
      <c r="J35" s="6"/>
      <c r="L35" s="8"/>
      <c r="M35" s="8" t="s">
        <v>36</v>
      </c>
      <c r="N35" s="8" t="s">
        <v>17</v>
      </c>
      <c r="O35" s="8">
        <v>800</v>
      </c>
      <c r="P35" s="8">
        <v>0.28000000000000003</v>
      </c>
      <c r="Q35" s="8">
        <v>4</v>
      </c>
    </row>
    <row r="36" spans="1:17" ht="18.75">
      <c r="A36" s="6" t="s">
        <v>110</v>
      </c>
      <c r="B36" s="6"/>
      <c r="C36" s="17"/>
      <c r="D36" s="17">
        <f>ROUND(D15/(D35*3600),2)</f>
        <v>1.87</v>
      </c>
      <c r="E36" s="17" t="s">
        <v>155</v>
      </c>
      <c r="F36" s="17"/>
      <c r="G36" s="6"/>
      <c r="H36" s="6"/>
      <c r="I36" s="6"/>
      <c r="J36" s="6"/>
      <c r="L36" s="8"/>
      <c r="M36" s="8" t="s">
        <v>42</v>
      </c>
      <c r="N36" s="8"/>
      <c r="O36" s="8">
        <v>1000</v>
      </c>
      <c r="P36" s="8">
        <v>0.34</v>
      </c>
      <c r="Q36" s="8">
        <v>4</v>
      </c>
    </row>
    <row r="37" spans="1:17" ht="23.25">
      <c r="A37" s="6" t="s">
        <v>182</v>
      </c>
      <c r="B37" s="6"/>
      <c r="C37" s="17"/>
      <c r="D37" s="17">
        <f>ROUND(-(D36^2/(2*D27)),3)</f>
        <v>-0.105</v>
      </c>
      <c r="E37" s="17" t="s">
        <v>156</v>
      </c>
      <c r="F37" s="17">
        <f>ROUND(D37*D18,4)</f>
        <v>-51.24</v>
      </c>
      <c r="G37" s="16" t="s">
        <v>191</v>
      </c>
      <c r="H37" s="6"/>
      <c r="I37" s="6"/>
      <c r="J37" s="6"/>
      <c r="L37" s="8"/>
      <c r="M37" s="8" t="s">
        <v>43</v>
      </c>
      <c r="N37" s="8" t="s">
        <v>17</v>
      </c>
      <c r="O37" s="8">
        <v>200</v>
      </c>
      <c r="P37" s="8">
        <v>9.0999999999999998E-2</v>
      </c>
      <c r="Q37" s="8">
        <v>4</v>
      </c>
    </row>
    <row r="38" spans="1:17" ht="18.75">
      <c r="A38" s="6" t="s">
        <v>88</v>
      </c>
      <c r="B38" s="6"/>
      <c r="C38" s="17"/>
      <c r="D38" s="17">
        <f>ROUND(D23*1000/D12,3)</f>
        <v>869.56500000000005</v>
      </c>
      <c r="E38" s="17"/>
      <c r="F38" s="17"/>
      <c r="G38" s="6"/>
      <c r="H38" s="6"/>
      <c r="I38" s="6"/>
      <c r="J38" s="6"/>
      <c r="L38" s="8"/>
      <c r="M38" s="8" t="s">
        <v>36</v>
      </c>
      <c r="N38" s="8" t="s">
        <v>17</v>
      </c>
      <c r="O38" s="8">
        <v>150</v>
      </c>
      <c r="P38" s="8">
        <v>1.7000000000000001E-2</v>
      </c>
      <c r="Q38" s="8">
        <v>4</v>
      </c>
    </row>
    <row r="39" spans="1:17" ht="18.75">
      <c r="A39" s="6" t="s">
        <v>64</v>
      </c>
      <c r="B39" s="6"/>
      <c r="C39" s="17"/>
      <c r="D39" s="17">
        <f>ROUND((354*D19)/(D12*D20),0)</f>
        <v>1226136</v>
      </c>
      <c r="E39" s="17"/>
      <c r="F39" s="17"/>
      <c r="G39" s="6"/>
      <c r="H39" s="6"/>
      <c r="I39" s="6"/>
      <c r="J39" s="6"/>
      <c r="L39" s="8"/>
      <c r="M39" s="8" t="s">
        <v>42</v>
      </c>
      <c r="N39" s="8"/>
      <c r="O39" s="8">
        <v>100</v>
      </c>
      <c r="P39" s="8">
        <v>0</v>
      </c>
      <c r="Q39" s="8">
        <v>0</v>
      </c>
    </row>
    <row r="40" spans="1:17" ht="18.75">
      <c r="A40" s="6" t="s">
        <v>65</v>
      </c>
      <c r="B40" s="6"/>
      <c r="C40" s="17"/>
      <c r="D40" s="17" t="str">
        <f>IF(D39&gt;=4000,"TURBULENT FLOW","LAMINAR FLOW")</f>
        <v>TURBULENT FLOW</v>
      </c>
      <c r="E40" s="17"/>
      <c r="F40" s="17"/>
      <c r="G40" s="6"/>
      <c r="H40" s="6"/>
      <c r="I40" s="6"/>
      <c r="J40" s="6"/>
      <c r="L40" s="8" t="s">
        <v>44</v>
      </c>
      <c r="M40" s="8" t="s">
        <v>45</v>
      </c>
      <c r="N40" s="8" t="s">
        <v>46</v>
      </c>
      <c r="O40" s="8">
        <v>950</v>
      </c>
      <c r="P40" s="8">
        <v>0.25</v>
      </c>
      <c r="Q40" s="8">
        <v>4</v>
      </c>
    </row>
    <row r="41" spans="1:17" ht="18.75">
      <c r="A41" s="6"/>
      <c r="B41" s="6"/>
      <c r="C41" s="17"/>
      <c r="D41" s="17"/>
      <c r="E41" s="17"/>
      <c r="F41" s="17"/>
      <c r="G41" s="6"/>
      <c r="H41" s="6"/>
      <c r="I41" s="6"/>
      <c r="J41" s="6"/>
      <c r="L41" s="8"/>
      <c r="M41" s="8" t="s">
        <v>47</v>
      </c>
      <c r="N41" s="8" t="s">
        <v>46</v>
      </c>
      <c r="O41" s="8">
        <v>1000</v>
      </c>
      <c r="P41" s="8">
        <v>0.69</v>
      </c>
      <c r="Q41" s="8">
        <v>4</v>
      </c>
    </row>
    <row r="42" spans="1:17" ht="18.75">
      <c r="A42" s="6" t="s">
        <v>81</v>
      </c>
      <c r="B42" s="6"/>
      <c r="C42" s="17"/>
      <c r="D42" s="17"/>
      <c r="E42" s="17"/>
      <c r="F42" s="17"/>
      <c r="G42" s="6"/>
      <c r="H42" s="6"/>
      <c r="I42" s="6"/>
      <c r="J42" s="6"/>
      <c r="L42" s="8"/>
      <c r="M42" s="8" t="s">
        <v>48</v>
      </c>
      <c r="N42" s="8" t="s">
        <v>50</v>
      </c>
      <c r="O42" s="8">
        <v>1500</v>
      </c>
      <c r="P42" s="8">
        <v>1.7</v>
      </c>
      <c r="Q42" s="8">
        <v>3.6</v>
      </c>
    </row>
    <row r="43" spans="1:17" ht="18.75">
      <c r="A43" s="6" t="s">
        <v>80</v>
      </c>
      <c r="B43" s="6"/>
      <c r="C43" s="17"/>
      <c r="D43" s="17"/>
      <c r="E43" s="17"/>
      <c r="F43" s="17"/>
      <c r="G43" s="6"/>
      <c r="H43" s="6"/>
      <c r="I43" s="6"/>
      <c r="J43" s="6"/>
      <c r="L43" s="8"/>
      <c r="M43" s="8" t="s">
        <v>49</v>
      </c>
      <c r="N43" s="8" t="s">
        <v>51</v>
      </c>
      <c r="O43" s="8">
        <v>500</v>
      </c>
      <c r="P43" s="8">
        <v>0.41</v>
      </c>
      <c r="Q43" s="8">
        <v>4</v>
      </c>
    </row>
    <row r="44" spans="1:17" ht="18.75">
      <c r="A44" s="6"/>
      <c r="B44" s="6"/>
      <c r="C44" s="17"/>
      <c r="D44" s="17"/>
      <c r="E44" s="17"/>
      <c r="F44" s="17"/>
      <c r="G44" s="6"/>
      <c r="H44" s="6"/>
      <c r="I44" s="6"/>
      <c r="J44" s="6"/>
      <c r="L44" s="8"/>
      <c r="M44" s="8" t="s">
        <v>49</v>
      </c>
      <c r="N44" s="8" t="s">
        <v>52</v>
      </c>
      <c r="O44" s="8">
        <v>300</v>
      </c>
      <c r="P44" s="8">
        <v>8.4000000000000005E-2</v>
      </c>
      <c r="Q44" s="8">
        <v>3.9</v>
      </c>
    </row>
    <row r="45" spans="1:17" ht="18.75">
      <c r="A45" s="6"/>
      <c r="B45" s="6"/>
      <c r="C45" s="17"/>
      <c r="D45" s="16"/>
      <c r="E45" s="17"/>
      <c r="F45" s="6"/>
      <c r="G45" s="6"/>
      <c r="H45" s="6"/>
      <c r="I45" s="6"/>
      <c r="J45" s="6"/>
      <c r="L45" s="8"/>
      <c r="M45" s="8" t="s">
        <v>49</v>
      </c>
      <c r="N45" s="8" t="s">
        <v>53</v>
      </c>
      <c r="O45" s="8">
        <v>300</v>
      </c>
      <c r="P45" s="8">
        <v>0.14000000000000001</v>
      </c>
      <c r="Q45" s="8">
        <v>4</v>
      </c>
    </row>
    <row r="46" spans="1:17" ht="20.25">
      <c r="A46" s="18" t="s">
        <v>183</v>
      </c>
      <c r="B46" s="6"/>
      <c r="C46" s="17"/>
      <c r="D46" s="17"/>
      <c r="E46" s="17"/>
      <c r="F46" s="6"/>
      <c r="G46" s="6"/>
      <c r="H46" s="6"/>
      <c r="I46" s="6"/>
      <c r="J46" s="6"/>
      <c r="L46" s="8"/>
      <c r="M46" s="8"/>
      <c r="N46" s="8"/>
      <c r="O46" s="8"/>
      <c r="P46" s="8"/>
      <c r="Q46" s="8"/>
    </row>
    <row r="47" spans="1:17" ht="18.75">
      <c r="A47" s="6" t="s">
        <v>168</v>
      </c>
      <c r="B47" s="6"/>
      <c r="C47" s="17"/>
      <c r="D47" s="17">
        <f>ROUND($D$24/$D$12,5)</f>
        <v>2.9999999999999997E-4</v>
      </c>
      <c r="E47" s="17"/>
      <c r="F47" s="6"/>
      <c r="G47" s="6"/>
      <c r="H47" s="6"/>
      <c r="I47" s="6"/>
      <c r="J47" s="6"/>
      <c r="L47" s="8"/>
      <c r="M47" s="8" t="s">
        <v>54</v>
      </c>
      <c r="N47" s="8" t="s">
        <v>50</v>
      </c>
      <c r="O47" s="8">
        <v>300</v>
      </c>
      <c r="P47" s="8">
        <v>3.6999999999999998E-2</v>
      </c>
      <c r="Q47" s="8">
        <v>3.9</v>
      </c>
    </row>
    <row r="48" spans="1:17" ht="18.75">
      <c r="A48" s="6" t="s">
        <v>0</v>
      </c>
      <c r="B48" s="6"/>
      <c r="C48" s="17"/>
      <c r="D48" s="17">
        <f>ROUND(D47*1/3.7,5)</f>
        <v>8.0000000000000007E-5</v>
      </c>
      <c r="E48" s="17"/>
      <c r="F48" s="6"/>
      <c r="G48" s="6"/>
      <c r="H48" s="6"/>
      <c r="I48" s="6"/>
      <c r="J48" s="6"/>
      <c r="L48" s="8"/>
      <c r="M48" s="8" t="s">
        <v>55</v>
      </c>
      <c r="N48" s="8" t="s">
        <v>50</v>
      </c>
      <c r="O48" s="8">
        <v>300</v>
      </c>
      <c r="P48" s="8">
        <v>1.7000000000000001E-2</v>
      </c>
      <c r="Q48" s="8">
        <v>4</v>
      </c>
    </row>
    <row r="49" spans="1:30" ht="18.75">
      <c r="A49" s="6" t="s">
        <v>67</v>
      </c>
      <c r="B49" s="6"/>
      <c r="C49" s="17"/>
      <c r="D49" s="17">
        <f>ROUND((6.7/D39)^0.9,5)</f>
        <v>2.0000000000000002E-5</v>
      </c>
      <c r="E49" s="17"/>
      <c r="F49" s="6" t="s">
        <v>94</v>
      </c>
      <c r="G49" s="6">
        <f>ROUND((2.457*LN(1/((7/D39)^0.9+(0.27*D47))))^16,3)</f>
        <v>4.7226127373445701E+21</v>
      </c>
      <c r="H49" s="6" t="s">
        <v>95</v>
      </c>
      <c r="I49" s="6">
        <f>(37530/D39)^16</f>
        <v>5.9352460938657572E-25</v>
      </c>
      <c r="J49" s="6"/>
      <c r="L49" s="8"/>
      <c r="M49" s="8" t="s">
        <v>56</v>
      </c>
      <c r="N49" s="8" t="s">
        <v>57</v>
      </c>
      <c r="O49" s="8">
        <v>1000</v>
      </c>
      <c r="P49" s="8">
        <v>0.69</v>
      </c>
      <c r="Q49" s="8">
        <v>4.9000000000000004</v>
      </c>
    </row>
    <row r="50" spans="1:30" ht="18.75">
      <c r="A50" s="6" t="s">
        <v>68</v>
      </c>
      <c r="B50" s="6"/>
      <c r="C50" s="17"/>
      <c r="D50" s="17">
        <f>ROUND(SUM(D48:D49),5)</f>
        <v>1E-4</v>
      </c>
      <c r="E50" s="17"/>
      <c r="F50" s="6"/>
      <c r="G50" s="6"/>
      <c r="H50" s="6"/>
      <c r="I50" s="6"/>
      <c r="J50" s="6"/>
      <c r="L50" s="8"/>
      <c r="M50" s="8" t="s">
        <v>58</v>
      </c>
      <c r="N50" s="8"/>
      <c r="O50" s="8">
        <v>1500</v>
      </c>
      <c r="P50" s="8">
        <v>0.46</v>
      </c>
      <c r="Q50" s="8">
        <v>4</v>
      </c>
    </row>
    <row r="51" spans="1:30" ht="18.75">
      <c r="A51" s="6" t="s">
        <v>69</v>
      </c>
      <c r="B51" s="6"/>
      <c r="C51" s="17"/>
      <c r="D51" s="17">
        <f>-4*LOG(D48-(5.02*LOG(D50)/D39))</f>
        <v>16.064112696279658</v>
      </c>
      <c r="E51" s="17"/>
      <c r="F51" s="6" t="s">
        <v>96</v>
      </c>
      <c r="G51" s="6"/>
      <c r="H51" s="6"/>
      <c r="I51" s="6">
        <f>ROUND(8*((8/D39)^12+(1/(G49+I49)^1.5))^(1/12),4)</f>
        <v>1.5599999999999999E-2</v>
      </c>
      <c r="J51" s="6"/>
      <c r="L51" s="8"/>
      <c r="M51" s="8" t="s">
        <v>59</v>
      </c>
      <c r="N51" s="8"/>
      <c r="O51" s="8">
        <v>2000</v>
      </c>
      <c r="P51" s="8">
        <v>2.85</v>
      </c>
      <c r="Q51" s="8">
        <v>3.8</v>
      </c>
    </row>
    <row r="52" spans="1:30" ht="20.25">
      <c r="A52" s="6" t="s">
        <v>66</v>
      </c>
      <c r="B52" s="6"/>
      <c r="C52" s="17"/>
      <c r="D52" s="17">
        <f>ROUND(1/(D51)^2,4)</f>
        <v>3.8999999999999998E-3</v>
      </c>
      <c r="E52" s="17"/>
      <c r="F52" s="6" t="s">
        <v>184</v>
      </c>
      <c r="G52" s="6"/>
      <c r="H52" s="6"/>
      <c r="I52" s="6">
        <f>I51/4</f>
        <v>3.8999999999999998E-3</v>
      </c>
      <c r="J52" s="6"/>
    </row>
    <row r="53" spans="1:30" ht="20.25">
      <c r="A53" s="6" t="s">
        <v>185</v>
      </c>
      <c r="B53" s="6"/>
      <c r="C53" s="17"/>
      <c r="D53" s="17">
        <f>4*D52</f>
        <v>1.5599999999999999E-2</v>
      </c>
      <c r="E53" s="17"/>
      <c r="F53" s="17"/>
      <c r="G53" s="6"/>
      <c r="H53" s="6"/>
      <c r="I53" s="6"/>
      <c r="J53" s="6"/>
    </row>
    <row r="54" spans="1:30" ht="18.75">
      <c r="A54" s="6"/>
      <c r="B54" s="6"/>
      <c r="C54" s="17"/>
      <c r="D54" s="17"/>
      <c r="E54" s="17"/>
      <c r="F54" s="17"/>
      <c r="G54" s="6"/>
      <c r="H54" s="6"/>
      <c r="I54" s="6"/>
      <c r="J54" s="6"/>
    </row>
    <row r="55" spans="1:30" ht="18.75">
      <c r="A55" s="6"/>
      <c r="B55" s="6"/>
      <c r="C55" s="6"/>
      <c r="D55" s="6"/>
      <c r="E55" s="6"/>
      <c r="F55" s="6"/>
      <c r="G55" s="6"/>
      <c r="H55" s="6"/>
      <c r="I55" s="6"/>
      <c r="J55" s="6"/>
      <c r="M55" s="6" t="s">
        <v>79</v>
      </c>
      <c r="T55" s="6"/>
    </row>
    <row r="56" spans="1:30" ht="18.75">
      <c r="A56" s="6"/>
      <c r="B56" s="6"/>
      <c r="C56" s="6"/>
      <c r="D56" s="6"/>
      <c r="E56" s="6"/>
      <c r="F56" s="6"/>
      <c r="G56" s="6"/>
      <c r="H56" s="6"/>
      <c r="I56" s="6"/>
      <c r="J56" s="6"/>
      <c r="L56" s="3" t="s">
        <v>70</v>
      </c>
      <c r="M56" s="3" t="s">
        <v>71</v>
      </c>
      <c r="N56" s="3" t="s">
        <v>72</v>
      </c>
      <c r="O56" s="3" t="s">
        <v>73</v>
      </c>
      <c r="P56" s="3" t="s">
        <v>74</v>
      </c>
      <c r="Q56" s="3" t="s">
        <v>75</v>
      </c>
      <c r="R56" s="3" t="s">
        <v>76</v>
      </c>
      <c r="S56" s="3" t="s">
        <v>77</v>
      </c>
      <c r="W56" s="12"/>
      <c r="X56" s="13"/>
      <c r="Y56" s="12"/>
      <c r="Z56" s="12"/>
      <c r="AA56" s="12"/>
      <c r="AB56" s="12"/>
      <c r="AC56" s="12"/>
      <c r="AD56" s="12"/>
    </row>
    <row r="57" spans="1:30" ht="18.75">
      <c r="A57" s="6"/>
      <c r="B57" s="6"/>
      <c r="C57" s="6"/>
      <c r="D57" s="6"/>
      <c r="E57" s="6"/>
      <c r="F57" s="6"/>
      <c r="G57" s="6"/>
      <c r="H57" s="6"/>
      <c r="I57" s="6"/>
      <c r="J57" s="6"/>
      <c r="L57" s="3" t="s">
        <v>134</v>
      </c>
      <c r="M57" s="3">
        <v>6</v>
      </c>
      <c r="N57" s="3">
        <v>500</v>
      </c>
      <c r="O57" s="3">
        <f t="shared" ref="O57:O62" si="0">M57*N57</f>
        <v>3000</v>
      </c>
      <c r="P57" s="3">
        <v>5.1999999999999998E-2</v>
      </c>
      <c r="Q57" s="3">
        <f t="shared" ref="Q57:Q62" si="1">M57*P57</f>
        <v>0.312</v>
      </c>
      <c r="R57" s="3">
        <v>4</v>
      </c>
      <c r="S57" s="3">
        <f>ROUND((O57/$D$39)+Q57*(1+(R57*(25.4/$D$13)^0.3)),3)</f>
        <v>1.044</v>
      </c>
      <c r="W57" s="9"/>
      <c r="X57" s="9"/>
      <c r="Y57" s="9"/>
      <c r="Z57" s="9"/>
      <c r="AA57" s="9"/>
      <c r="AB57" s="9"/>
      <c r="AC57" s="9"/>
      <c r="AD57" s="9"/>
    </row>
    <row r="58" spans="1:30" ht="22.5">
      <c r="A58" s="18" t="s">
        <v>106</v>
      </c>
      <c r="B58" s="6"/>
      <c r="C58" s="17"/>
      <c r="D58" s="6">
        <f>D22</f>
        <v>43</v>
      </c>
      <c r="E58" s="17" t="s">
        <v>160</v>
      </c>
      <c r="F58" s="17">
        <f>ROUND(D58*D18,3)</f>
        <v>20984</v>
      </c>
      <c r="G58" s="16" t="s">
        <v>191</v>
      </c>
      <c r="H58" s="6"/>
      <c r="I58" s="6"/>
      <c r="J58" s="6"/>
      <c r="L58" s="11" t="s">
        <v>141</v>
      </c>
      <c r="M58" s="3">
        <v>40</v>
      </c>
      <c r="N58" s="3">
        <v>800</v>
      </c>
      <c r="O58" s="3">
        <f t="shared" si="0"/>
        <v>32000</v>
      </c>
      <c r="P58" s="3">
        <v>7.0999999999999994E-2</v>
      </c>
      <c r="Q58" s="3">
        <f t="shared" si="1"/>
        <v>2.84</v>
      </c>
      <c r="R58" s="3">
        <v>4.2</v>
      </c>
      <c r="S58" s="3">
        <f>ROUND((O58/$D$39)+Q58*(1+(R58*(25.4/$D$13)^0.3)),3)</f>
        <v>9.8339999999999996</v>
      </c>
      <c r="W58" s="9"/>
      <c r="X58" s="9"/>
      <c r="Y58" s="9"/>
      <c r="Z58" s="9"/>
      <c r="AA58" s="9"/>
      <c r="AB58" s="9"/>
      <c r="AC58" s="9"/>
      <c r="AD58" s="9"/>
    </row>
    <row r="59" spans="1:30" ht="18.75">
      <c r="A59" s="6"/>
      <c r="B59" s="6"/>
      <c r="C59" s="6"/>
      <c r="D59" s="6"/>
      <c r="E59" s="6"/>
      <c r="F59" s="6"/>
      <c r="G59" s="6"/>
      <c r="H59" s="6"/>
      <c r="I59" s="6"/>
      <c r="J59" s="6"/>
      <c r="L59" s="3" t="s">
        <v>55</v>
      </c>
      <c r="M59" s="3">
        <v>6</v>
      </c>
      <c r="N59" s="3">
        <v>300</v>
      </c>
      <c r="O59" s="3">
        <f t="shared" si="0"/>
        <v>1800</v>
      </c>
      <c r="P59" s="3">
        <v>1.7000000000000001E-2</v>
      </c>
      <c r="Q59" s="3">
        <f t="shared" si="1"/>
        <v>0.10200000000000001</v>
      </c>
      <c r="R59" s="3">
        <v>4</v>
      </c>
      <c r="S59" s="3">
        <f>ROUND((O59/$D$39)+Q59*(1+(R59*(25.4/D13)^0.3)),3)</f>
        <v>0.34200000000000003</v>
      </c>
      <c r="W59" s="9"/>
      <c r="X59" s="9"/>
      <c r="Y59" s="9"/>
      <c r="Z59" s="9"/>
      <c r="AA59" s="9"/>
      <c r="AB59" s="9"/>
      <c r="AC59" s="9"/>
      <c r="AD59" s="9"/>
    </row>
    <row r="60" spans="1:30" ht="18.75">
      <c r="A60" s="6"/>
      <c r="B60" s="6"/>
      <c r="C60" s="6"/>
      <c r="D60" s="6"/>
      <c r="E60" s="6"/>
      <c r="F60" s="6"/>
      <c r="G60" s="6"/>
      <c r="H60" s="6"/>
      <c r="I60" s="6"/>
      <c r="J60" s="6"/>
      <c r="L60" s="3" t="s">
        <v>48</v>
      </c>
      <c r="M60" s="3">
        <v>1</v>
      </c>
      <c r="N60" s="3">
        <v>1500</v>
      </c>
      <c r="O60" s="3">
        <f t="shared" si="0"/>
        <v>1500</v>
      </c>
      <c r="P60" s="3">
        <v>1.7</v>
      </c>
      <c r="Q60" s="3">
        <f t="shared" si="1"/>
        <v>1.7</v>
      </c>
      <c r="R60" s="3">
        <v>3.6</v>
      </c>
      <c r="S60" s="3">
        <f>ROUND((O60/$D$39)+Q60*(1+(R60*(25.4/D13)^0.3)),3)</f>
        <v>5.2759999999999998</v>
      </c>
      <c r="W60" s="9"/>
      <c r="X60" s="9"/>
      <c r="Y60" s="9"/>
      <c r="Z60" s="9"/>
      <c r="AA60" s="9"/>
      <c r="AB60" s="9"/>
      <c r="AC60" s="9"/>
      <c r="AD60" s="9"/>
    </row>
    <row r="61" spans="1:30" ht="18.75">
      <c r="A61" s="6"/>
      <c r="B61" s="6"/>
      <c r="C61" s="17"/>
      <c r="D61" s="17"/>
      <c r="E61" s="17"/>
      <c r="F61" s="17"/>
      <c r="G61" s="6"/>
      <c r="H61" s="6"/>
      <c r="I61" s="6"/>
      <c r="J61" s="6"/>
      <c r="L61" s="3" t="s">
        <v>135</v>
      </c>
      <c r="M61" s="3">
        <v>2</v>
      </c>
      <c r="N61" s="3">
        <v>1500</v>
      </c>
      <c r="O61" s="3">
        <f t="shared" si="0"/>
        <v>3000</v>
      </c>
      <c r="P61" s="3">
        <v>0.46</v>
      </c>
      <c r="Q61" s="3">
        <f t="shared" si="1"/>
        <v>0.92</v>
      </c>
      <c r="R61" s="3">
        <v>4</v>
      </c>
      <c r="S61" s="3">
        <f>ROUND((O61/$D$39)+Q61*(1+(R61*(25.4/D13)^0.3)),3)</f>
        <v>3.0720000000000001</v>
      </c>
      <c r="W61" s="9"/>
      <c r="X61" s="9"/>
      <c r="Y61" s="9"/>
      <c r="Z61" s="9"/>
      <c r="AA61" s="9"/>
      <c r="AB61" s="9"/>
      <c r="AC61" s="9"/>
      <c r="AD61" s="9"/>
    </row>
    <row r="62" spans="1:30" ht="18.75">
      <c r="A62" s="6"/>
      <c r="B62" s="6"/>
      <c r="C62" s="6"/>
      <c r="D62" s="6"/>
      <c r="E62" s="6"/>
      <c r="F62" s="6"/>
      <c r="G62" s="6"/>
      <c r="H62" s="6"/>
      <c r="I62" s="6"/>
      <c r="J62" s="6"/>
      <c r="L62" s="3" t="s">
        <v>136</v>
      </c>
      <c r="M62" s="3">
        <v>3</v>
      </c>
      <c r="N62" s="3">
        <v>2000</v>
      </c>
      <c r="O62" s="3">
        <f t="shared" si="0"/>
        <v>6000</v>
      </c>
      <c r="P62" s="3">
        <v>2.85</v>
      </c>
      <c r="Q62" s="3">
        <f t="shared" si="1"/>
        <v>8.5500000000000007</v>
      </c>
      <c r="R62" s="3">
        <v>3.8</v>
      </c>
      <c r="S62" s="3">
        <f>ROUND((O62/$D$39)+Q62*(1+(R62*(25.4/D13)^0.3)),3)</f>
        <v>27.535</v>
      </c>
      <c r="W62" s="9"/>
      <c r="X62" s="10"/>
      <c r="Y62" s="10"/>
      <c r="Z62" s="10"/>
      <c r="AA62" s="10"/>
      <c r="AB62" s="10"/>
      <c r="AC62" s="10"/>
      <c r="AD62" s="10"/>
    </row>
    <row r="63" spans="1:30" ht="18.75">
      <c r="A63" s="18" t="s">
        <v>123</v>
      </c>
      <c r="B63" s="6"/>
      <c r="C63" s="6"/>
      <c r="D63" s="6"/>
      <c r="E63" s="6"/>
      <c r="F63" s="6"/>
      <c r="G63" s="6"/>
      <c r="H63" s="6"/>
      <c r="I63" s="6"/>
      <c r="J63" s="6"/>
      <c r="L63" s="3" t="s">
        <v>137</v>
      </c>
      <c r="M63" s="2"/>
      <c r="N63" s="2"/>
      <c r="O63" s="2"/>
      <c r="P63" s="2"/>
      <c r="Q63" s="2"/>
      <c r="R63" s="2"/>
      <c r="S63" s="3"/>
      <c r="W63" s="9"/>
      <c r="X63" s="10"/>
      <c r="Y63" s="10"/>
      <c r="Z63" s="10"/>
      <c r="AA63" s="10"/>
      <c r="AB63" s="10"/>
      <c r="AC63" s="10"/>
      <c r="AD63" s="10"/>
    </row>
    <row r="64" spans="1:30" ht="18.75">
      <c r="A64" s="6"/>
      <c r="B64" s="6"/>
      <c r="C64" s="6"/>
      <c r="D64" s="17"/>
      <c r="E64" s="6"/>
      <c r="F64" s="6"/>
      <c r="G64" s="6"/>
      <c r="H64" s="6"/>
      <c r="I64" s="6"/>
      <c r="J64" s="6"/>
      <c r="L64" s="3" t="s">
        <v>138</v>
      </c>
      <c r="M64" s="3"/>
      <c r="N64" s="3"/>
      <c r="O64" s="3"/>
      <c r="P64" s="3"/>
      <c r="Q64" s="3"/>
      <c r="R64" s="3"/>
      <c r="S64" s="3"/>
      <c r="W64" s="9"/>
      <c r="X64" s="9"/>
      <c r="Y64" s="9"/>
      <c r="Z64" s="9"/>
      <c r="AA64" s="9"/>
      <c r="AB64" s="9"/>
      <c r="AC64" s="9"/>
      <c r="AD64" s="9"/>
    </row>
    <row r="65" spans="1:23" ht="18.75">
      <c r="A65" s="6" t="s">
        <v>120</v>
      </c>
      <c r="B65" s="6"/>
      <c r="C65" s="17"/>
      <c r="D65" s="17">
        <f>ROUND(D53*D38,3)</f>
        <v>13.565</v>
      </c>
      <c r="E65" s="6"/>
      <c r="F65" s="6"/>
      <c r="G65" s="6"/>
      <c r="H65" s="6"/>
      <c r="I65" s="6"/>
      <c r="J65" s="6"/>
      <c r="L65" s="3" t="s">
        <v>139</v>
      </c>
      <c r="M65" s="2"/>
      <c r="N65" s="2"/>
      <c r="O65" s="2"/>
      <c r="P65" s="2"/>
      <c r="Q65" s="2"/>
      <c r="R65" s="2"/>
      <c r="S65" s="3"/>
    </row>
    <row r="66" spans="1:23" ht="18.75">
      <c r="A66" s="6" t="s">
        <v>121</v>
      </c>
      <c r="B66" s="6"/>
      <c r="C66" s="6"/>
      <c r="D66" s="17">
        <f>S67</f>
        <v>47.103000000000002</v>
      </c>
      <c r="E66" s="17"/>
      <c r="F66" s="6"/>
      <c r="G66" s="6"/>
      <c r="H66" s="6"/>
      <c r="I66" s="6"/>
      <c r="J66" s="6"/>
      <c r="L66" s="3" t="s">
        <v>140</v>
      </c>
      <c r="M66" s="2"/>
      <c r="N66" s="2"/>
      <c r="O66" s="2"/>
      <c r="P66" s="2"/>
      <c r="Q66" s="2"/>
      <c r="R66" s="2"/>
      <c r="S66" s="3">
        <v>0</v>
      </c>
    </row>
    <row r="67" spans="1:23" ht="18.75">
      <c r="A67" s="6" t="s">
        <v>122</v>
      </c>
      <c r="B67" s="6"/>
      <c r="C67" s="17"/>
      <c r="D67" s="17">
        <f>SUM(D65:D66)</f>
        <v>60.667999999999999</v>
      </c>
      <c r="E67" s="17"/>
      <c r="F67" s="6"/>
      <c r="G67" s="6"/>
      <c r="H67" s="6"/>
      <c r="I67" s="6"/>
      <c r="J67" s="6"/>
      <c r="L67" s="3" t="s">
        <v>78</v>
      </c>
      <c r="M67" s="3"/>
      <c r="N67" s="3"/>
      <c r="O67" s="3"/>
      <c r="P67" s="3"/>
      <c r="Q67" s="3"/>
      <c r="R67" s="3"/>
      <c r="S67" s="3">
        <f>SUM(S57:S66)</f>
        <v>47.103000000000002</v>
      </c>
      <c r="U67" s="6"/>
      <c r="V67" s="6"/>
      <c r="W67" s="6"/>
    </row>
    <row r="68" spans="1:23" ht="22.5">
      <c r="A68" s="6" t="s">
        <v>124</v>
      </c>
      <c r="B68" s="6"/>
      <c r="C68" s="17"/>
      <c r="D68" s="17">
        <f>ROUND(D67*ABS(D37),3)</f>
        <v>6.37</v>
      </c>
      <c r="E68" s="17" t="s">
        <v>156</v>
      </c>
      <c r="F68" s="6">
        <f>ROUND(D68*D18,3)</f>
        <v>3108.56</v>
      </c>
      <c r="G68" s="16" t="s">
        <v>191</v>
      </c>
      <c r="H68" s="6"/>
      <c r="I68" s="6"/>
      <c r="J68" s="6"/>
      <c r="L68" s="6"/>
      <c r="U68" s="6"/>
      <c r="V68" s="6"/>
      <c r="W68" s="6"/>
    </row>
    <row r="69" spans="1:23" ht="18.75">
      <c r="A69" s="6"/>
      <c r="B69" s="6"/>
      <c r="C69" s="17"/>
      <c r="D69" s="17"/>
      <c r="E69" s="17"/>
      <c r="F69" s="6"/>
      <c r="G69" s="6"/>
      <c r="H69" s="6"/>
      <c r="I69" s="6"/>
      <c r="J69" s="6"/>
      <c r="L69" s="6"/>
      <c r="U69" s="6"/>
      <c r="V69" s="6"/>
      <c r="W69" s="6"/>
    </row>
    <row r="70" spans="1:23" ht="18.75">
      <c r="A70" s="6" t="s">
        <v>163</v>
      </c>
      <c r="B70" s="6"/>
      <c r="C70" s="17"/>
      <c r="D70" s="17">
        <f>ROUND((225*D53*D18*D16^2)/D12^5,4)</f>
        <v>8.2199999999999995E-2</v>
      </c>
      <c r="E70" s="17" t="s">
        <v>162</v>
      </c>
      <c r="F70" s="6"/>
      <c r="G70" s="6"/>
      <c r="H70" s="6"/>
      <c r="I70" s="6"/>
      <c r="J70" s="6"/>
      <c r="L70" s="6"/>
      <c r="U70" s="6"/>
      <c r="V70" s="6"/>
      <c r="W70" s="6"/>
    </row>
    <row r="71" spans="1:23" ht="18.75">
      <c r="A71" s="6"/>
      <c r="B71" s="6"/>
      <c r="C71" s="17"/>
      <c r="D71" s="17"/>
      <c r="E71" s="17"/>
      <c r="F71" s="6"/>
      <c r="G71" s="6"/>
      <c r="H71" s="6"/>
      <c r="I71" s="6"/>
      <c r="J71" s="6"/>
      <c r="L71" s="6"/>
      <c r="U71" s="6"/>
      <c r="V71" s="6"/>
      <c r="W71" s="6"/>
    </row>
    <row r="72" spans="1:23" ht="18.75">
      <c r="A72" s="6"/>
      <c r="B72" s="6"/>
      <c r="C72" s="6"/>
      <c r="D72" s="6"/>
      <c r="E72" s="6"/>
      <c r="F72" s="17"/>
      <c r="G72" s="6"/>
      <c r="H72" s="6"/>
      <c r="I72" s="6"/>
      <c r="J72" s="6"/>
      <c r="L72" s="15"/>
      <c r="M72" s="14"/>
      <c r="N72" s="14"/>
      <c r="O72" s="14"/>
      <c r="P72" s="14"/>
      <c r="Q72" s="14"/>
      <c r="U72" s="6"/>
      <c r="V72" s="6"/>
      <c r="W72" s="6"/>
    </row>
    <row r="73" spans="1:23" ht="22.5">
      <c r="A73" s="18" t="s">
        <v>126</v>
      </c>
      <c r="B73" s="6"/>
      <c r="C73" s="6"/>
      <c r="D73" s="6">
        <f>H27+D37+D58+D68</f>
        <v>3676.9249999999997</v>
      </c>
      <c r="E73" s="17" t="s">
        <v>154</v>
      </c>
      <c r="F73" s="6">
        <f>J27+F37+F58+F68</f>
        <v>1693041.3200000003</v>
      </c>
      <c r="G73" s="16" t="s">
        <v>191</v>
      </c>
      <c r="H73" s="6"/>
      <c r="I73" s="6"/>
      <c r="J73" s="6"/>
      <c r="L73" s="15"/>
      <c r="M73" s="14"/>
      <c r="N73" s="14"/>
      <c r="O73" s="14"/>
      <c r="P73" s="14"/>
      <c r="Q73" s="14"/>
      <c r="U73" s="6"/>
      <c r="V73" s="6"/>
      <c r="W73" s="6"/>
    </row>
    <row r="74" spans="1:23" ht="18.75">
      <c r="A74" s="6"/>
      <c r="B74" s="6"/>
      <c r="C74" s="6"/>
      <c r="D74" s="6">
        <f>ROUND(D73*D18/D30,2)</f>
        <v>17.940000000000001</v>
      </c>
      <c r="E74" s="17" t="s">
        <v>153</v>
      </c>
      <c r="F74" s="6"/>
      <c r="G74" s="6"/>
      <c r="H74" s="6"/>
      <c r="I74" s="6"/>
      <c r="J74" s="6"/>
      <c r="L74" s="15"/>
      <c r="M74" s="14"/>
      <c r="N74" s="14"/>
      <c r="O74" s="14"/>
      <c r="P74" s="14"/>
      <c r="Q74" s="14"/>
      <c r="U74" s="6"/>
      <c r="V74" s="6"/>
      <c r="W74" s="6"/>
    </row>
    <row r="75" spans="1:23" ht="18.75">
      <c r="A75" s="6"/>
      <c r="B75" s="6"/>
      <c r="C75" s="6"/>
      <c r="D75" s="6">
        <f>D74-1.013</f>
        <v>16.927</v>
      </c>
      <c r="E75" s="17" t="s">
        <v>145</v>
      </c>
      <c r="F75" s="6">
        <f>ROUND(F73/D30,2)</f>
        <v>16.93</v>
      </c>
      <c r="G75" s="6" t="s">
        <v>145</v>
      </c>
      <c r="H75" s="6"/>
      <c r="I75" s="6"/>
      <c r="J75" s="6"/>
      <c r="L75" s="15"/>
      <c r="M75" s="14"/>
      <c r="N75" s="14"/>
      <c r="O75" s="14"/>
      <c r="P75" s="14"/>
      <c r="Q75" s="14"/>
      <c r="U75" s="6"/>
      <c r="V75" s="6"/>
      <c r="W75" s="6"/>
    </row>
    <row r="76" spans="1:23" ht="18.75">
      <c r="A76" s="6"/>
      <c r="B76" s="6"/>
      <c r="C76" s="6"/>
      <c r="D76" s="6"/>
      <c r="E76" s="6"/>
      <c r="F76" s="6"/>
      <c r="G76" s="6"/>
      <c r="H76" s="6"/>
      <c r="I76" s="6"/>
      <c r="J76" s="6"/>
      <c r="L76" s="15"/>
      <c r="M76" s="14"/>
      <c r="N76" s="14"/>
      <c r="O76" s="14"/>
      <c r="P76" s="14"/>
      <c r="Q76" s="14"/>
      <c r="U76" s="6"/>
      <c r="V76" s="6"/>
      <c r="W76" s="6"/>
    </row>
    <row r="77" spans="1:23" ht="18.75">
      <c r="A77" s="6" t="s">
        <v>193</v>
      </c>
      <c r="B77" s="6"/>
      <c r="C77" s="6"/>
      <c r="D77" s="6">
        <f>ROUND(10.2*D74/D17,2)</f>
        <v>374.98</v>
      </c>
      <c r="E77" s="6" t="s">
        <v>144</v>
      </c>
      <c r="F77" s="6"/>
      <c r="G77" s="6"/>
      <c r="H77" s="6"/>
      <c r="I77" s="6"/>
      <c r="J77" s="6"/>
      <c r="L77" s="15"/>
      <c r="M77" s="14"/>
      <c r="N77" s="14"/>
      <c r="O77" s="14"/>
      <c r="P77" s="14"/>
      <c r="Q77" s="14"/>
      <c r="U77" s="6"/>
      <c r="V77" s="6"/>
      <c r="W77" s="6"/>
    </row>
    <row r="78" spans="1:23" ht="18.75">
      <c r="A78" s="6"/>
      <c r="B78" s="6"/>
      <c r="C78" s="6"/>
      <c r="D78" s="6"/>
      <c r="E78" s="6"/>
      <c r="F78" s="6"/>
      <c r="G78" s="6"/>
      <c r="H78" s="6"/>
      <c r="I78" s="6"/>
      <c r="J78" s="6"/>
      <c r="L78" s="15"/>
      <c r="M78" s="14"/>
      <c r="N78" s="14"/>
      <c r="O78" s="14"/>
      <c r="P78" s="14"/>
      <c r="Q78" s="14"/>
      <c r="U78" s="6"/>
      <c r="V78" s="6"/>
      <c r="W78" s="6"/>
    </row>
    <row r="79" spans="1:23" ht="18.75">
      <c r="A79" s="6"/>
      <c r="B79" s="6"/>
      <c r="C79" s="17"/>
      <c r="D79" s="17"/>
      <c r="E79" s="17"/>
      <c r="F79" s="17"/>
      <c r="G79" s="6"/>
      <c r="H79" s="6"/>
      <c r="I79" s="6"/>
      <c r="J79" s="6"/>
      <c r="L79" s="15"/>
      <c r="M79" s="14"/>
      <c r="N79" s="14"/>
      <c r="O79" s="14"/>
      <c r="P79" s="14"/>
      <c r="Q79" s="14"/>
      <c r="U79" s="6"/>
      <c r="V79" s="6"/>
      <c r="W79" s="6"/>
    </row>
    <row r="80" spans="1:23" ht="18.75">
      <c r="A80" s="18" t="s">
        <v>179</v>
      </c>
      <c r="B80" s="18"/>
      <c r="C80" s="19"/>
      <c r="D80" s="17"/>
      <c r="E80" s="17"/>
      <c r="F80" s="17"/>
      <c r="G80" s="6"/>
      <c r="H80" s="6"/>
      <c r="I80" s="6"/>
      <c r="J80" s="6"/>
      <c r="L80" s="15"/>
      <c r="M80" s="15"/>
      <c r="N80" s="15"/>
      <c r="O80" s="15"/>
      <c r="P80" s="15"/>
      <c r="Q80" s="15"/>
      <c r="R80" s="6"/>
      <c r="S80" s="6"/>
      <c r="T80" s="6"/>
      <c r="U80" s="6"/>
      <c r="V80" s="6"/>
      <c r="W80" s="6"/>
    </row>
    <row r="81" spans="1:23" ht="18.75">
      <c r="A81" s="6"/>
      <c r="B81" s="6"/>
      <c r="C81" s="17"/>
      <c r="D81" s="17"/>
      <c r="E81" s="17"/>
      <c r="F81" s="17"/>
      <c r="G81" s="6"/>
      <c r="H81" s="6"/>
      <c r="I81" s="6"/>
      <c r="J81" s="6"/>
      <c r="L81" s="15"/>
      <c r="M81" s="15"/>
      <c r="N81" s="15"/>
      <c r="O81" s="15"/>
      <c r="P81" s="15"/>
      <c r="Q81" s="15"/>
      <c r="R81" s="6"/>
      <c r="S81" s="6"/>
      <c r="T81" s="6"/>
      <c r="U81" s="6"/>
      <c r="V81" s="6"/>
      <c r="W81" s="6"/>
    </row>
    <row r="82" spans="1:23" ht="18.75">
      <c r="A82" s="6"/>
      <c r="B82" s="6"/>
      <c r="C82" s="17"/>
      <c r="D82" s="17">
        <f>ROUND((F27*D30)+F37+F58+F68,3)</f>
        <v>1794341.32</v>
      </c>
      <c r="E82" s="17" t="s">
        <v>158</v>
      </c>
      <c r="F82" s="6"/>
      <c r="G82" s="6"/>
      <c r="H82" s="6"/>
      <c r="I82" s="6"/>
      <c r="J82" s="6"/>
      <c r="L82" s="15"/>
      <c r="M82" s="15"/>
      <c r="N82" s="15"/>
      <c r="O82" s="15"/>
      <c r="P82" s="15"/>
      <c r="Q82" s="15"/>
      <c r="R82" s="6"/>
      <c r="S82" s="6"/>
      <c r="T82" s="6"/>
      <c r="U82" s="6"/>
      <c r="V82" s="6"/>
      <c r="W82" s="6"/>
    </row>
    <row r="83" spans="1:23" ht="18.75">
      <c r="A83" s="6"/>
      <c r="B83" s="6"/>
      <c r="C83" s="17"/>
      <c r="D83" s="17">
        <f>ROUND(D82/D30,2)</f>
        <v>17.940000000000001</v>
      </c>
      <c r="E83" s="17" t="s">
        <v>153</v>
      </c>
      <c r="F83" s="17">
        <f>D83-1.013</f>
        <v>16.927</v>
      </c>
      <c r="G83" s="6" t="s">
        <v>145</v>
      </c>
      <c r="H83" s="6"/>
      <c r="I83" s="6"/>
      <c r="J83" s="6"/>
      <c r="L83" s="15"/>
      <c r="M83" s="15"/>
      <c r="N83" s="15"/>
      <c r="O83" s="15"/>
      <c r="P83" s="15"/>
      <c r="Q83" s="15"/>
      <c r="R83" s="6"/>
      <c r="S83" s="6"/>
      <c r="T83" s="6"/>
      <c r="U83" s="6"/>
      <c r="V83" s="6"/>
      <c r="W83" s="6"/>
    </row>
    <row r="84" spans="1:23" ht="18.75">
      <c r="A84" s="18"/>
      <c r="B84" s="18"/>
      <c r="C84" s="17"/>
      <c r="D84" s="17">
        <f>D83-1.013</f>
        <v>16.927</v>
      </c>
      <c r="E84" s="17" t="s">
        <v>145</v>
      </c>
      <c r="F84" s="17"/>
      <c r="G84" s="6"/>
      <c r="H84" s="6"/>
      <c r="I84" s="6"/>
      <c r="J84" s="6"/>
      <c r="L84" s="15"/>
      <c r="M84" s="15"/>
      <c r="N84" s="15"/>
      <c r="O84" s="15"/>
      <c r="P84" s="15"/>
      <c r="Q84" s="15"/>
      <c r="R84" s="6"/>
      <c r="S84" s="6"/>
      <c r="T84" s="6"/>
      <c r="U84" s="6"/>
      <c r="V84" s="6"/>
      <c r="W84" s="6"/>
    </row>
    <row r="85" spans="1:23" ht="18.75">
      <c r="A85" s="6"/>
      <c r="B85" s="6"/>
      <c r="C85" s="17"/>
      <c r="D85" s="17"/>
      <c r="E85" s="6"/>
      <c r="F85" s="6"/>
      <c r="G85" s="6"/>
      <c r="H85" s="6"/>
      <c r="I85" s="6"/>
      <c r="J85" s="6"/>
      <c r="L85" s="15"/>
      <c r="M85" s="15"/>
      <c r="N85" s="15"/>
      <c r="O85" s="15"/>
      <c r="P85" s="15"/>
      <c r="Q85" s="15"/>
      <c r="R85" s="6"/>
      <c r="S85" s="6"/>
      <c r="T85" s="6"/>
      <c r="U85" s="6"/>
      <c r="V85" s="6"/>
      <c r="W85" s="6"/>
    </row>
    <row r="86" spans="1:23" ht="18.75">
      <c r="A86" s="6"/>
      <c r="B86" s="6"/>
      <c r="C86" s="17"/>
      <c r="D86" s="17"/>
      <c r="E86" s="6"/>
      <c r="F86" s="20"/>
      <c r="G86" s="6"/>
      <c r="H86" s="6"/>
      <c r="I86" s="6"/>
      <c r="J86" s="6"/>
      <c r="L86" s="15"/>
      <c r="M86" s="15"/>
      <c r="N86" s="15"/>
      <c r="O86" s="15"/>
      <c r="P86" s="15"/>
      <c r="Q86" s="15"/>
      <c r="R86" s="6"/>
      <c r="S86" s="6"/>
      <c r="T86" s="6"/>
      <c r="U86" s="6"/>
      <c r="V86" s="6"/>
      <c r="W86" s="6"/>
    </row>
    <row r="87" spans="1:23" ht="18.75">
      <c r="L87" s="15"/>
      <c r="M87" s="15"/>
      <c r="N87" s="15"/>
      <c r="O87" s="15"/>
      <c r="P87" s="15"/>
      <c r="Q87" s="15"/>
      <c r="R87" s="6"/>
      <c r="S87" s="6"/>
      <c r="T87" s="6"/>
      <c r="U87" s="6"/>
      <c r="V87" s="6"/>
      <c r="W87" s="6"/>
    </row>
    <row r="88" spans="1:23" ht="18.75">
      <c r="A88" s="6"/>
      <c r="B88" s="6"/>
      <c r="C88" s="17"/>
      <c r="D88" s="17"/>
      <c r="L88" s="15"/>
      <c r="M88" s="15"/>
      <c r="N88" s="15"/>
      <c r="O88" s="15"/>
      <c r="P88" s="15"/>
      <c r="Q88" s="15"/>
      <c r="R88" s="6"/>
      <c r="S88" s="6"/>
      <c r="T88" s="6"/>
      <c r="U88" s="6"/>
      <c r="V88" s="6"/>
      <c r="W88" s="6"/>
    </row>
    <row r="89" spans="1:23" ht="18.75">
      <c r="A89" s="18"/>
      <c r="B89" s="18"/>
      <c r="C89" s="17"/>
      <c r="D89" s="17"/>
      <c r="E89" s="23" t="s">
        <v>202</v>
      </c>
      <c r="F89" s="23"/>
      <c r="G89" s="23"/>
      <c r="H89" s="23"/>
      <c r="I89" s="23"/>
      <c r="J89" s="23"/>
      <c r="L89" s="15"/>
      <c r="M89" s="15"/>
      <c r="N89" s="15"/>
      <c r="O89" s="15"/>
      <c r="P89" s="15"/>
      <c r="Q89" s="15"/>
      <c r="R89" s="6"/>
      <c r="S89" s="6"/>
      <c r="T89" s="6"/>
      <c r="U89" s="6"/>
      <c r="V89" s="6"/>
      <c r="W89" s="6"/>
    </row>
    <row r="90" spans="1:23" ht="18.75">
      <c r="A90" s="18"/>
      <c r="B90" s="18"/>
      <c r="C90" s="18"/>
      <c r="D90" s="17"/>
      <c r="E90" s="23" t="s">
        <v>197</v>
      </c>
      <c r="F90" s="23"/>
      <c r="G90" s="23"/>
      <c r="H90" s="23"/>
      <c r="I90" s="23">
        <f>D75 - 12.727</f>
        <v>4.1999999999999993</v>
      </c>
      <c r="J90" s="23" t="s">
        <v>175</v>
      </c>
      <c r="L90" s="15"/>
      <c r="M90" s="15"/>
      <c r="N90" s="15"/>
      <c r="O90" s="15"/>
      <c r="P90" s="15"/>
      <c r="Q90" s="15"/>
      <c r="R90" s="6"/>
      <c r="S90" s="6"/>
      <c r="T90" s="6"/>
      <c r="U90" s="6"/>
      <c r="V90" s="6"/>
      <c r="W90" s="6"/>
    </row>
    <row r="91" spans="1:23" ht="18.75">
      <c r="A91" s="6"/>
      <c r="B91" s="6"/>
      <c r="C91" s="6"/>
      <c r="D91" s="6"/>
      <c r="E91" s="23" t="s">
        <v>195</v>
      </c>
      <c r="F91" s="23"/>
      <c r="G91" s="23"/>
      <c r="H91" s="23"/>
      <c r="I91" s="23">
        <f>D15</f>
        <v>122.5</v>
      </c>
      <c r="J91" s="23" t="s">
        <v>147</v>
      </c>
      <c r="L91" s="15"/>
      <c r="M91" s="15"/>
      <c r="N91" s="15"/>
      <c r="O91" s="15"/>
      <c r="P91" s="15"/>
      <c r="Q91" s="15"/>
      <c r="R91" s="6"/>
      <c r="S91" s="6"/>
      <c r="T91" s="6"/>
      <c r="U91" s="6"/>
      <c r="V91" s="6"/>
      <c r="W91" s="6"/>
    </row>
    <row r="92" spans="1:23" ht="18.75">
      <c r="A92" s="6"/>
      <c r="B92" s="6"/>
      <c r="C92" s="6"/>
      <c r="D92" s="17"/>
      <c r="E92" s="23" t="s">
        <v>176</v>
      </c>
      <c r="F92" s="23"/>
      <c r="G92" s="23"/>
      <c r="H92" s="23"/>
      <c r="I92" s="23">
        <f>ROUND(I90*I91/36,1)</f>
        <v>14.3</v>
      </c>
      <c r="J92" s="23" t="s">
        <v>196</v>
      </c>
      <c r="L92" s="15"/>
      <c r="M92" s="15"/>
      <c r="N92" s="15"/>
      <c r="O92" s="15"/>
      <c r="P92" s="15"/>
      <c r="Q92" s="15"/>
      <c r="R92" s="6"/>
      <c r="S92" s="6"/>
      <c r="T92" s="6"/>
      <c r="U92" s="6"/>
      <c r="V92" s="6"/>
      <c r="W92" s="6"/>
    </row>
    <row r="93" spans="1:23" ht="18.75">
      <c r="A93" s="6"/>
      <c r="B93" s="6"/>
      <c r="C93" s="6"/>
      <c r="D93" s="6"/>
      <c r="E93" s="23" t="s">
        <v>177</v>
      </c>
      <c r="F93" s="23"/>
      <c r="G93" s="23"/>
      <c r="H93" s="23"/>
      <c r="I93" s="23">
        <f>ROUND(I92/0.6,2)</f>
        <v>23.83</v>
      </c>
      <c r="J93" s="23" t="s">
        <v>196</v>
      </c>
      <c r="L93" s="15"/>
      <c r="M93" s="15"/>
      <c r="N93" s="15"/>
      <c r="O93" s="15"/>
      <c r="P93" s="15"/>
      <c r="Q93" s="15"/>
      <c r="R93" s="6"/>
      <c r="S93" s="6"/>
      <c r="T93" s="6"/>
      <c r="U93" s="6"/>
      <c r="V93" s="6"/>
      <c r="W93" s="6"/>
    </row>
    <row r="94" spans="1:23" ht="18.75">
      <c r="A94" s="18" t="s">
        <v>89</v>
      </c>
      <c r="B94" s="18"/>
      <c r="C94" s="17"/>
      <c r="D94" s="17"/>
      <c r="J94" s="6"/>
      <c r="L94" s="15"/>
      <c r="M94" s="15"/>
      <c r="N94" s="15"/>
      <c r="O94" s="15"/>
      <c r="P94" s="15"/>
      <c r="Q94" s="15"/>
      <c r="R94" s="6"/>
      <c r="S94" s="6"/>
      <c r="T94" s="6"/>
      <c r="U94" s="6"/>
      <c r="V94" s="6"/>
      <c r="W94" s="6"/>
    </row>
    <row r="95" spans="1:23" ht="18.75">
      <c r="A95" s="18" t="s">
        <v>164</v>
      </c>
      <c r="B95" s="18"/>
      <c r="C95" s="6"/>
      <c r="D95" s="6"/>
      <c r="J95" s="6"/>
      <c r="L95" s="15"/>
      <c r="M95" s="15"/>
      <c r="N95" s="15"/>
      <c r="O95" s="15"/>
      <c r="P95" s="15"/>
      <c r="Q95" s="15"/>
      <c r="R95" s="6"/>
      <c r="S95" s="6"/>
      <c r="T95" s="6"/>
      <c r="U95" s="6"/>
      <c r="V95" s="6"/>
      <c r="W95" s="6"/>
    </row>
    <row r="96" spans="1:23" ht="18.75">
      <c r="A96" s="6"/>
      <c r="B96" s="6"/>
      <c r="C96" s="6"/>
      <c r="D96" s="6"/>
      <c r="E96" s="6"/>
      <c r="F96" s="6"/>
      <c r="G96" s="6"/>
      <c r="H96" s="6"/>
      <c r="I96" s="6"/>
      <c r="J96" s="6"/>
      <c r="L96" s="15"/>
      <c r="M96" s="15"/>
      <c r="N96" s="15"/>
      <c r="O96" s="15"/>
      <c r="P96" s="15"/>
      <c r="Q96" s="15"/>
      <c r="R96" s="6"/>
      <c r="S96" s="6"/>
      <c r="T96" s="6"/>
      <c r="U96" s="6"/>
      <c r="V96" s="6"/>
      <c r="W96" s="6"/>
    </row>
    <row r="97" spans="1:23" ht="18.75">
      <c r="A97" s="6"/>
      <c r="B97" s="6"/>
      <c r="C97" s="6"/>
      <c r="D97" s="6"/>
      <c r="L97" s="15"/>
      <c r="M97" s="15"/>
      <c r="N97" s="15"/>
      <c r="O97" s="15"/>
      <c r="P97" s="15"/>
      <c r="Q97" s="15"/>
      <c r="R97" s="6"/>
      <c r="S97" s="6"/>
      <c r="T97" s="6"/>
      <c r="U97" s="6"/>
      <c r="V97" s="6"/>
      <c r="W97" s="6"/>
    </row>
    <row r="98" spans="1:23" ht="18.75">
      <c r="A98" s="18" t="s">
        <v>165</v>
      </c>
      <c r="B98" s="18"/>
      <c r="C98" s="18"/>
      <c r="D98" s="19">
        <v>4</v>
      </c>
      <c r="L98" s="14"/>
      <c r="M98" s="14"/>
      <c r="N98" s="14"/>
      <c r="O98" s="14"/>
      <c r="P98" s="14"/>
      <c r="Q98" s="14"/>
    </row>
    <row r="99" spans="1:23" ht="18.75">
      <c r="A99" s="6" t="s">
        <v>166</v>
      </c>
      <c r="B99" s="6"/>
      <c r="C99" s="6"/>
      <c r="D99" s="17">
        <v>102.3</v>
      </c>
      <c r="L99" s="14"/>
      <c r="M99" s="14"/>
      <c r="N99" s="14"/>
      <c r="O99" s="14"/>
      <c r="P99" s="14"/>
      <c r="Q99" s="14"/>
    </row>
    <row r="100" spans="1:23" ht="18.75">
      <c r="A100" s="6" t="s">
        <v>167</v>
      </c>
      <c r="B100" s="6"/>
      <c r="C100" s="6"/>
      <c r="D100" s="17">
        <f>ROUND(21.22*$D$16/$D$99^2,2)</f>
        <v>4.1399999999999997</v>
      </c>
      <c r="E100" s="24" t="s">
        <v>198</v>
      </c>
      <c r="F100" s="25"/>
      <c r="G100" s="25"/>
      <c r="H100" s="25"/>
      <c r="I100" s="25"/>
      <c r="J100" s="26"/>
      <c r="L100" s="14"/>
      <c r="M100" s="14"/>
      <c r="N100" s="14"/>
      <c r="O100" s="14"/>
      <c r="P100" s="14"/>
      <c r="Q100" s="14"/>
    </row>
    <row r="101" spans="1:23" ht="18.75">
      <c r="A101" s="6" t="s">
        <v>64</v>
      </c>
      <c r="B101" s="6"/>
      <c r="C101" s="6"/>
      <c r="D101" s="17">
        <f>ROUND((354*D19)/(D99*D20),0)</f>
        <v>1846994</v>
      </c>
      <c r="E101" s="27" t="s">
        <v>199</v>
      </c>
      <c r="F101" s="28"/>
      <c r="G101" s="28"/>
      <c r="H101" s="28"/>
      <c r="I101" s="28"/>
      <c r="J101" s="29"/>
      <c r="L101" s="14"/>
      <c r="M101" s="14"/>
      <c r="N101" s="14"/>
      <c r="O101" s="14"/>
      <c r="P101" s="14"/>
      <c r="Q101" s="14"/>
    </row>
    <row r="102" spans="1:23" ht="18.75">
      <c r="A102" s="6" t="s">
        <v>65</v>
      </c>
      <c r="B102" s="6"/>
      <c r="C102" s="6"/>
      <c r="D102" s="17" t="str">
        <f>IF(D101&gt;=4000,"TURBULENT FLOW","LAMINAR FLOW")</f>
        <v>TURBULENT FLOW</v>
      </c>
      <c r="E102" s="27" t="s">
        <v>200</v>
      </c>
      <c r="F102" s="28"/>
      <c r="G102" s="28"/>
      <c r="H102" s="28"/>
      <c r="I102" s="28">
        <f>ROUND(10.2*I90/D17,2)</f>
        <v>87.79</v>
      </c>
      <c r="J102" s="29" t="s">
        <v>144</v>
      </c>
      <c r="L102" s="14"/>
      <c r="M102" s="14"/>
      <c r="N102" s="14"/>
      <c r="O102" s="14"/>
      <c r="P102" s="14"/>
      <c r="Q102" s="14"/>
    </row>
    <row r="103" spans="1:23" ht="18.75">
      <c r="A103" s="6"/>
      <c r="B103" s="6"/>
      <c r="C103" s="6"/>
      <c r="D103" s="6"/>
      <c r="E103" s="27" t="s">
        <v>201</v>
      </c>
      <c r="F103" s="28"/>
      <c r="G103" s="28"/>
      <c r="H103" s="28"/>
      <c r="I103" s="28">
        <f>D16</f>
        <v>2041.7</v>
      </c>
      <c r="J103" s="29" t="s">
        <v>143</v>
      </c>
      <c r="L103" s="14"/>
      <c r="M103" s="14"/>
      <c r="N103" s="14"/>
      <c r="O103" s="14"/>
      <c r="P103" s="14"/>
      <c r="Q103" s="14"/>
    </row>
    <row r="104" spans="1:23" ht="20.25">
      <c r="A104" s="18" t="s">
        <v>186</v>
      </c>
      <c r="B104" s="18"/>
      <c r="C104" s="6"/>
      <c r="D104" s="17"/>
      <c r="E104" s="27" t="s">
        <v>176</v>
      </c>
      <c r="F104" s="28"/>
      <c r="G104" s="28"/>
      <c r="H104" s="28"/>
      <c r="I104" s="28">
        <f>ROUND(D16*I102*D18/(6116*10^3),1)</f>
        <v>14.3</v>
      </c>
      <c r="J104" s="29" t="s">
        <v>196</v>
      </c>
      <c r="L104" s="14"/>
      <c r="M104" s="14"/>
      <c r="N104" s="14"/>
      <c r="O104" s="14"/>
      <c r="P104" s="14"/>
      <c r="Q104" s="14"/>
    </row>
    <row r="105" spans="1:23" ht="18.75">
      <c r="A105" s="6" t="s">
        <v>168</v>
      </c>
      <c r="B105" s="6"/>
      <c r="C105" s="17"/>
      <c r="D105" s="17">
        <f>ROUND($D$24/$D$99,5)</f>
        <v>4.4999999999999999E-4</v>
      </c>
      <c r="E105" s="30" t="s">
        <v>177</v>
      </c>
      <c r="F105" s="31"/>
      <c r="G105" s="31"/>
      <c r="H105" s="31"/>
      <c r="I105" s="31">
        <f>ROUND(I104/0.6,2)</f>
        <v>23.83</v>
      </c>
      <c r="J105" s="32" t="s">
        <v>196</v>
      </c>
      <c r="L105" s="14"/>
      <c r="M105" s="14"/>
      <c r="N105" s="14"/>
      <c r="O105" s="14"/>
      <c r="P105" s="14"/>
      <c r="Q105" s="14"/>
    </row>
    <row r="106" spans="1:23" ht="18.75">
      <c r="A106" s="6" t="s">
        <v>0</v>
      </c>
      <c r="B106" s="6"/>
      <c r="C106" s="6"/>
      <c r="D106" s="17">
        <f>ROUND(D105*1/3.7,5)</f>
        <v>1.2E-4</v>
      </c>
      <c r="E106" s="6"/>
      <c r="L106" s="14"/>
      <c r="M106" s="14"/>
      <c r="N106" s="14"/>
      <c r="O106" s="14"/>
      <c r="P106" s="14"/>
      <c r="Q106" s="14"/>
    </row>
    <row r="107" spans="1:23" ht="18.75">
      <c r="A107" s="6" t="s">
        <v>67</v>
      </c>
      <c r="B107" s="6"/>
      <c r="C107" s="6"/>
      <c r="D107" s="17">
        <f>ROUND((6.7/D$101)^0.9,5)</f>
        <v>1.0000000000000001E-5</v>
      </c>
      <c r="E107" s="6"/>
      <c r="L107" s="14"/>
      <c r="M107" s="14"/>
      <c r="N107" s="14"/>
      <c r="O107" s="14"/>
      <c r="P107" s="14"/>
      <c r="Q107" s="14"/>
    </row>
    <row r="108" spans="1:23" ht="18.75">
      <c r="A108" s="6" t="s">
        <v>68</v>
      </c>
      <c r="B108" s="6"/>
      <c r="C108" s="6"/>
      <c r="D108" s="17">
        <f>ROUND(SUM(D106:D107),5)</f>
        <v>1.2999999999999999E-4</v>
      </c>
      <c r="E108" s="21"/>
      <c r="J108" s="6"/>
      <c r="L108" s="14"/>
      <c r="M108" s="14"/>
      <c r="N108" s="14"/>
      <c r="O108" s="14"/>
      <c r="P108" s="14"/>
      <c r="Q108" s="14"/>
    </row>
    <row r="109" spans="1:23" ht="18.75">
      <c r="A109" s="6" t="s">
        <v>69</v>
      </c>
      <c r="B109" s="6"/>
      <c r="C109" s="6"/>
      <c r="D109" s="17">
        <f>-4*LOG(D$106-(5.02*LOG(D108)/D$101))</f>
        <v>15.536732436226048</v>
      </c>
      <c r="E109" s="21"/>
      <c r="J109" s="6"/>
      <c r="L109" s="14"/>
      <c r="M109" s="14"/>
      <c r="N109" s="14"/>
      <c r="O109" s="14"/>
      <c r="P109" s="14"/>
      <c r="Q109" s="14"/>
    </row>
    <row r="110" spans="1:23" ht="18.75">
      <c r="A110" s="6" t="s">
        <v>66</v>
      </c>
      <c r="B110" s="6"/>
      <c r="C110" s="6"/>
      <c r="D110" s="17">
        <f>ROUND(1/(D109)^2,4)</f>
        <v>4.1000000000000003E-3</v>
      </c>
      <c r="E110" s="21"/>
      <c r="F110" s="21"/>
      <c r="G110" s="21"/>
      <c r="H110" s="22"/>
      <c r="I110" s="6"/>
      <c r="J110" s="6"/>
      <c r="L110" s="14"/>
      <c r="M110" s="14"/>
      <c r="N110" s="14"/>
      <c r="O110" s="14"/>
      <c r="P110" s="14"/>
      <c r="Q110" s="14"/>
    </row>
    <row r="111" spans="1:23" ht="20.25">
      <c r="A111" s="18" t="s">
        <v>187</v>
      </c>
      <c r="B111" s="18"/>
      <c r="C111" s="6"/>
      <c r="D111" s="17">
        <f>4*D110</f>
        <v>1.6400000000000001E-2</v>
      </c>
      <c r="E111" s="6"/>
      <c r="F111" s="6" t="s">
        <v>94</v>
      </c>
      <c r="G111" s="6">
        <f>ROUND((2.457*LN(1/((7/D101)^0.9+(0.27*D105))))^16,3)</f>
        <v>2.7951813864628599E+21</v>
      </c>
      <c r="H111" s="6" t="s">
        <v>95</v>
      </c>
      <c r="I111" s="6">
        <f>(37530/D101)^16</f>
        <v>8.4451871179257921E-28</v>
      </c>
      <c r="J111" s="6"/>
    </row>
    <row r="112" spans="1:23" ht="18.75">
      <c r="A112" s="6"/>
      <c r="B112" s="6"/>
      <c r="C112" s="6"/>
      <c r="D112" s="17"/>
      <c r="E112" s="6"/>
      <c r="F112" s="21"/>
      <c r="G112" s="21"/>
      <c r="H112" s="22"/>
      <c r="I112" s="6"/>
      <c r="J112" s="6"/>
    </row>
    <row r="113" spans="1:10" ht="18.75">
      <c r="A113" s="18" t="s">
        <v>169</v>
      </c>
      <c r="B113" s="18"/>
      <c r="C113" s="18"/>
      <c r="D113" s="17">
        <f>ROUND((225*D111*D18*D16^2/D99^5),3)</f>
        <v>0.67</v>
      </c>
      <c r="E113" s="6"/>
      <c r="F113" s="6" t="s">
        <v>96</v>
      </c>
      <c r="G113" s="6"/>
      <c r="H113" s="6"/>
      <c r="I113" s="6">
        <f>ROUND(8*((8/D101)^12+(1/(G111+I111)^1.5))^(1/12),4)</f>
        <v>1.67E-2</v>
      </c>
      <c r="J113" s="6"/>
    </row>
    <row r="114" spans="1:10" ht="20.25">
      <c r="A114" s="6"/>
      <c r="B114" s="6"/>
      <c r="C114" s="6"/>
      <c r="D114" s="6"/>
      <c r="E114" s="6"/>
      <c r="F114" s="6" t="s">
        <v>184</v>
      </c>
      <c r="G114" s="6"/>
      <c r="H114" s="6"/>
      <c r="I114" s="6">
        <f>I113/4</f>
        <v>4.1749999999999999E-3</v>
      </c>
      <c r="J114" s="6"/>
    </row>
    <row r="115" spans="1:10" ht="18.7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 ht="18.75">
      <c r="A116" s="18" t="s">
        <v>170</v>
      </c>
      <c r="B116" s="18"/>
      <c r="C116" s="18"/>
      <c r="D116" s="19">
        <v>8</v>
      </c>
      <c r="E116" s="6"/>
      <c r="F116" s="6"/>
      <c r="G116" s="6"/>
      <c r="H116" s="6"/>
      <c r="I116" s="6"/>
    </row>
    <row r="117" spans="1:10" ht="18.75">
      <c r="A117" s="6" t="s">
        <v>171</v>
      </c>
      <c r="B117" s="6"/>
      <c r="C117" s="6"/>
      <c r="D117" s="17">
        <v>202.7</v>
      </c>
      <c r="E117" s="6"/>
      <c r="F117" s="6"/>
      <c r="G117" s="6"/>
      <c r="H117" s="6"/>
      <c r="I117" s="6"/>
    </row>
    <row r="118" spans="1:10" ht="18.75">
      <c r="A118" s="6" t="s">
        <v>172</v>
      </c>
      <c r="B118" s="6"/>
      <c r="C118" s="6"/>
      <c r="D118" s="17">
        <f>ROUND(21.22*$D$16/$D$117^2,2)</f>
        <v>1.05</v>
      </c>
      <c r="E118" s="6"/>
      <c r="F118" s="6"/>
      <c r="G118" s="6"/>
      <c r="H118" s="6"/>
      <c r="I118" s="6"/>
    </row>
    <row r="119" spans="1:10" ht="18.75">
      <c r="A119" s="6"/>
      <c r="B119" s="6"/>
      <c r="C119" s="6"/>
      <c r="D119" s="17"/>
      <c r="E119" s="6"/>
      <c r="F119" s="6"/>
      <c r="G119" s="6"/>
      <c r="H119" s="6"/>
      <c r="I119" s="6"/>
    </row>
    <row r="120" spans="1:10" ht="18.75">
      <c r="A120" s="6" t="s">
        <v>64</v>
      </c>
      <c r="B120" s="6"/>
      <c r="C120" s="6"/>
      <c r="D120" s="17">
        <f>ROUND((21.22*$D16*$D$18)/(D117*D$20),0)</f>
        <v>931291</v>
      </c>
      <c r="E120" s="6"/>
      <c r="F120" s="6"/>
      <c r="G120" s="6"/>
      <c r="H120" s="6"/>
      <c r="I120" s="6"/>
    </row>
    <row r="121" spans="1:10" ht="18.75">
      <c r="A121" s="6" t="s">
        <v>65</v>
      </c>
      <c r="B121" s="6"/>
      <c r="C121" s="6"/>
      <c r="D121" s="17" t="str">
        <f>IF(D120&gt;=4000,"TURBULENT FLOW","LAMINAR FLOW")</f>
        <v>TURBULENT FLOW</v>
      </c>
      <c r="E121" s="6"/>
      <c r="F121" s="6"/>
      <c r="G121" s="6"/>
      <c r="H121" s="6"/>
      <c r="I121" s="6"/>
    </row>
    <row r="122" spans="1:10" ht="18.75">
      <c r="A122" s="6"/>
      <c r="B122" s="6"/>
      <c r="C122" s="6"/>
      <c r="D122" s="17"/>
      <c r="E122" s="6"/>
      <c r="F122" s="6"/>
      <c r="G122" s="6"/>
      <c r="H122" s="6"/>
      <c r="I122" s="6"/>
    </row>
    <row r="123" spans="1:10" ht="20.25">
      <c r="A123" s="6" t="s">
        <v>188</v>
      </c>
      <c r="B123" s="6"/>
      <c r="C123" s="6"/>
      <c r="D123" s="17"/>
      <c r="E123" s="6"/>
      <c r="F123" s="6"/>
      <c r="G123" s="6"/>
      <c r="H123" s="6"/>
      <c r="I123" s="6"/>
      <c r="J123" s="6"/>
    </row>
    <row r="124" spans="1:10" ht="18.75">
      <c r="A124" s="6" t="s">
        <v>168</v>
      </c>
      <c r="B124" s="6"/>
      <c r="C124" s="17"/>
      <c r="D124" s="17">
        <f>ROUND($D$24/$D$117,5)</f>
        <v>2.3000000000000001E-4</v>
      </c>
      <c r="E124" s="6"/>
      <c r="F124" s="6"/>
      <c r="G124" s="6"/>
      <c r="H124" s="6"/>
      <c r="I124" s="6"/>
      <c r="J124" s="6"/>
    </row>
    <row r="125" spans="1:10" ht="18.75">
      <c r="A125" s="6" t="s">
        <v>0</v>
      </c>
      <c r="B125" s="6"/>
      <c r="C125" s="6"/>
      <c r="D125" s="17">
        <f>ROUND(D124*1/3.7,5)</f>
        <v>6.0000000000000002E-5</v>
      </c>
      <c r="E125" s="6"/>
      <c r="F125" s="6"/>
      <c r="G125" s="6"/>
      <c r="H125" s="6"/>
      <c r="I125" s="6"/>
      <c r="J125" s="6"/>
    </row>
    <row r="126" spans="1:10" ht="18.75">
      <c r="A126" s="6" t="s">
        <v>67</v>
      </c>
      <c r="B126" s="6"/>
      <c r="C126" s="6"/>
      <c r="D126" s="17">
        <f>ROUND((6.7/$D120)^0.9,5)</f>
        <v>2.0000000000000002E-5</v>
      </c>
      <c r="E126" s="6"/>
      <c r="F126" s="6"/>
      <c r="G126" s="6"/>
      <c r="H126" s="6"/>
      <c r="I126" s="6"/>
    </row>
    <row r="127" spans="1:10" ht="18.75">
      <c r="A127" s="6" t="s">
        <v>68</v>
      </c>
      <c r="B127" s="6"/>
      <c r="C127" s="6"/>
      <c r="D127" s="17">
        <f>ROUND(SUM(D125:D126),5)</f>
        <v>8.0000000000000007E-5</v>
      </c>
      <c r="E127" s="6"/>
      <c r="F127" s="6"/>
      <c r="G127" s="6"/>
      <c r="H127" s="6"/>
      <c r="I127" s="6"/>
    </row>
    <row r="128" spans="1:10" ht="18.75">
      <c r="A128" s="6" t="s">
        <v>69</v>
      </c>
      <c r="B128" s="6"/>
      <c r="C128" s="6"/>
      <c r="D128" s="17">
        <f>-4*LOG(D125-(5.02*LOG(D127)/D$120))</f>
        <v>16.3429691841859</v>
      </c>
      <c r="E128" s="6"/>
      <c r="F128" s="6" t="s">
        <v>94</v>
      </c>
      <c r="G128" s="6">
        <f>ROUND((2.457*LN(1/((7/D120)^0.9+(0.27*D124))))^16,3)</f>
        <v>6.0668307114654297E+21</v>
      </c>
      <c r="H128" s="6" t="s">
        <v>95</v>
      </c>
      <c r="I128" s="6">
        <f>(37530/D120)^16</f>
        <v>4.8382748444366006E-23</v>
      </c>
    </row>
    <row r="129" spans="1:9" ht="18.75">
      <c r="A129" s="6" t="s">
        <v>66</v>
      </c>
      <c r="B129" s="6"/>
      <c r="C129" s="6"/>
      <c r="D129" s="17">
        <f>ROUND(1/(D128)^2,4)</f>
        <v>3.7000000000000002E-3</v>
      </c>
      <c r="E129" s="6"/>
      <c r="F129" s="6"/>
      <c r="G129" s="6"/>
      <c r="H129" s="6"/>
      <c r="I129" s="6"/>
    </row>
    <row r="130" spans="1:9" ht="20.25">
      <c r="A130" s="18" t="s">
        <v>187</v>
      </c>
      <c r="B130" s="18"/>
      <c r="C130" s="18"/>
      <c r="D130" s="19">
        <f>4*D129</f>
        <v>1.4800000000000001E-2</v>
      </c>
      <c r="E130" s="6"/>
      <c r="F130" s="6" t="s">
        <v>96</v>
      </c>
      <c r="G130" s="6"/>
      <c r="H130" s="6"/>
      <c r="I130" s="6">
        <f>ROUND(8*((8/D120)^12+(1/(G128+I128)^1.5))^(1/12),4)</f>
        <v>1.5100000000000001E-2</v>
      </c>
    </row>
    <row r="131" spans="1:9" ht="20.25">
      <c r="A131" s="6"/>
      <c r="B131" s="6"/>
      <c r="C131" s="6"/>
      <c r="D131" s="17"/>
      <c r="E131" s="6"/>
      <c r="F131" s="6" t="s">
        <v>184</v>
      </c>
      <c r="G131" s="6"/>
      <c r="H131" s="6"/>
      <c r="I131" s="6">
        <f>I130/4</f>
        <v>3.7750000000000001E-3</v>
      </c>
    </row>
    <row r="132" spans="1:9" ht="18.75">
      <c r="A132" s="18" t="s">
        <v>174</v>
      </c>
      <c r="B132" s="18"/>
      <c r="C132" s="18"/>
      <c r="D132" s="17">
        <f>ROUND((225*D130*$D$16*$D$18^2/D117^5),3)</f>
        <v>5.0000000000000001E-3</v>
      </c>
      <c r="E132" s="6"/>
      <c r="F132" s="6"/>
      <c r="G132" s="6"/>
      <c r="H132" s="6"/>
      <c r="I132" s="6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  <oleObjects>
    <oleObject progId="Equation.DSMT4" shapeId="3115" r:id="rId3"/>
    <oleObject progId="Equation.DSMT4" shapeId="3119" r:id="rId4"/>
    <oleObject progId="Equation.DSMT4" shapeId="3120" r:id="rId5"/>
    <oleObject progId="Equation.DSMT4" shapeId="3125" r:id="rId6"/>
    <oleObject progId="Equation.DSMT4" shapeId="3126" r:id="rId7"/>
    <oleObject progId="Equation.DSMT4" shapeId="3127" r:id="rId8"/>
    <oleObject progId="Equation.DSMT4" shapeId="3128" r:id="rId9"/>
    <oleObject progId="Equation.DSMT4" shapeId="3129" r:id="rId10"/>
    <oleObject progId="Equation.DSMT4" shapeId="3130" r:id="rId11"/>
    <oleObject progId="Equation.DSMT4" shapeId="3131" r:id="rId12"/>
    <oleObject progId="Equation.DSMT4" shapeId="3132" r:id="rId13"/>
    <oleObject progId="Visio.Drawing.11" shapeId="3134" r:id="rId14"/>
    <oleObject progId="Equation.DSMT4" shapeId="3139" r:id="rId15"/>
    <oleObject progId="Equation.DSMT4" shapeId="3140" r:id="rId16"/>
    <oleObject progId="Equation.DSMT4" shapeId="3141" r:id="rId17"/>
    <oleObject progId="Equation.DSMT4" shapeId="3142" r:id="rId18"/>
    <oleObject progId="Equation.DSMT4" shapeId="3143" r:id="rId19"/>
    <oleObject progId="Equation.DSMT4" shapeId="3144" r:id="rId20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15-9 -suction</vt:lpstr>
      <vt:lpstr>Example 15-9 discharge</vt:lpstr>
      <vt:lpstr>Sheet3</vt:lpstr>
    </vt:vector>
  </TitlesOfParts>
  <Company>Acer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2006-10-27T11:59:53Z</cp:lastPrinted>
  <dcterms:created xsi:type="dcterms:W3CDTF">2003-05-22T11:12:26Z</dcterms:created>
  <dcterms:modified xsi:type="dcterms:W3CDTF">2017-10-05T15:18:52Z</dcterms:modified>
</cp:coreProperties>
</file>